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24\Desktop\"/>
    </mc:Choice>
  </mc:AlternateContent>
  <bookViews>
    <workbookView xWindow="0" yWindow="0" windowWidth="20490" windowHeight="7380"/>
  </bookViews>
  <sheets>
    <sheet name="使い方" sheetId="28" r:id="rId1"/>
    <sheet name="様式" sheetId="26" r:id="rId2"/>
    <sheet name="データ" sheetId="27" r:id="rId3"/>
    <sheet name="記入例" sheetId="19" r:id="rId4"/>
    <sheet name="記入例（延長）" sheetId="22" r:id="rId5"/>
    <sheet name="計算シート " sheetId="14" r:id="rId6"/>
    <sheet name="計算シート（例）" sheetId="15" r:id="rId7"/>
    <sheet name="Sheet1" sheetId="29" r:id="rId8"/>
  </sheets>
  <definedNames>
    <definedName name="_xlnm.Print_Area" localSheetId="3">記入例!$A$1:$BR$49</definedName>
    <definedName name="_xlnm.Print_Area" localSheetId="4">'記入例（延長）'!$A$1:$BO$49</definedName>
    <definedName name="_xlnm.Print_Area" localSheetId="5">'計算シート '!$A$1:$X$26</definedName>
    <definedName name="_xlnm.Print_Area" localSheetId="6">'計算シート（例）'!$A$1:$X$26</definedName>
    <definedName name="_xlnm.Print_Area" localSheetId="1">様式!$A$1:$AK$48</definedName>
  </definedNames>
  <calcPr calcId="152511"/>
</workbook>
</file>

<file path=xl/calcChain.xml><?xml version="1.0" encoding="utf-8"?>
<calcChain xmlns="http://schemas.openxmlformats.org/spreadsheetml/2006/main">
  <c r="C28" i="27" l="1"/>
  <c r="E13" i="27" l="1"/>
  <c r="C18" i="27" l="1"/>
  <c r="C19" i="27" s="1"/>
  <c r="C30" i="27" l="1"/>
  <c r="L30" i="27" l="1"/>
  <c r="M10" i="26" s="1"/>
  <c r="M30" i="27"/>
  <c r="P10" i="26" s="1"/>
  <c r="K30" i="27"/>
  <c r="J10" i="26" s="1"/>
  <c r="S18" i="27" l="1"/>
  <c r="S17" i="27"/>
  <c r="H5" i="26"/>
  <c r="AA40" i="26"/>
  <c r="X39" i="26"/>
  <c r="X33" i="26"/>
  <c r="W11" i="26"/>
  <c r="N11" i="26"/>
  <c r="H7" i="26"/>
  <c r="S4" i="26"/>
  <c r="Y34" i="26" s="1"/>
  <c r="H4" i="26"/>
  <c r="K17" i="27"/>
  <c r="O17" i="27" s="1"/>
  <c r="Q15" i="27"/>
  <c r="AG9" i="26" s="1"/>
  <c r="P15" i="27"/>
  <c r="AD9" i="26" s="1"/>
  <c r="O15" i="27"/>
  <c r="Z9" i="26" s="1"/>
  <c r="Q14" i="27"/>
  <c r="AG8" i="26" s="1"/>
  <c r="P14" i="27"/>
  <c r="AD8" i="26" s="1"/>
  <c r="O14" i="27"/>
  <c r="Z8" i="26" s="1"/>
  <c r="M15" i="27"/>
  <c r="Q9" i="26" s="1"/>
  <c r="L15" i="27"/>
  <c r="N9" i="26" s="1"/>
  <c r="K15" i="27"/>
  <c r="K9" i="26" s="1"/>
  <c r="M13" i="27"/>
  <c r="AG7" i="26" s="1"/>
  <c r="L13" i="27"/>
  <c r="AD7" i="26" s="1"/>
  <c r="K13" i="27"/>
  <c r="Z7" i="26" s="1"/>
  <c r="T10" i="27"/>
  <c r="AB5" i="26" s="1"/>
  <c r="S10" i="27"/>
  <c r="AA5" i="26" s="1"/>
  <c r="R10" i="27"/>
  <c r="Z5" i="26" s="1"/>
  <c r="Q10" i="27"/>
  <c r="P10" i="27"/>
  <c r="O10" i="27"/>
  <c r="N10" i="27"/>
  <c r="M10" i="27"/>
  <c r="L10" i="27"/>
  <c r="K10" i="27"/>
  <c r="S5" i="26" s="1"/>
  <c r="P8" i="27"/>
  <c r="O8" i="27"/>
  <c r="N8" i="27"/>
  <c r="M8" i="27"/>
  <c r="L8" i="27"/>
  <c r="K8" i="27"/>
  <c r="W5" i="26" l="1"/>
  <c r="AI6" i="26"/>
  <c r="T5" i="26"/>
  <c r="AF6" i="26"/>
  <c r="U5" i="26"/>
  <c r="AG6" i="26"/>
  <c r="Y5" i="26"/>
  <c r="AK6" i="26"/>
  <c r="V5" i="26"/>
  <c r="AH6" i="26"/>
  <c r="X5" i="26"/>
  <c r="AJ6" i="26"/>
  <c r="R17" i="27"/>
  <c r="T17" i="27" s="1"/>
  <c r="R18" i="27"/>
  <c r="T18" i="27" s="1"/>
  <c r="C27" i="27"/>
  <c r="C26" i="27"/>
  <c r="E25" i="27" s="1"/>
  <c r="C23" i="27"/>
  <c r="C24" i="27" s="1"/>
  <c r="E18" i="27" l="1"/>
  <c r="E30" i="27" s="1"/>
  <c r="F30" i="27" s="1"/>
  <c r="AN20" i="26" s="1"/>
  <c r="M34" i="27"/>
  <c r="M33" i="27"/>
  <c r="E24" i="27"/>
  <c r="AE12" i="26"/>
  <c r="AE10" i="26" s="1"/>
  <c r="K14" i="27"/>
  <c r="K8" i="26" s="1"/>
  <c r="M14" i="27"/>
  <c r="Q8" i="26" s="1"/>
  <c r="L14" i="27"/>
  <c r="N8" i="26" s="1"/>
  <c r="AK18" i="26"/>
  <c r="AJ18" i="26"/>
  <c r="AI18" i="26"/>
  <c r="AH18" i="26"/>
  <c r="AG18" i="26"/>
  <c r="AF18" i="26"/>
  <c r="AE18" i="26"/>
  <c r="AK16" i="26"/>
  <c r="AJ16" i="26"/>
  <c r="AI16" i="26"/>
  <c r="AH16" i="26"/>
  <c r="AG16" i="26"/>
  <c r="AF16" i="26"/>
  <c r="AE16" i="26"/>
  <c r="AK14" i="26"/>
  <c r="AJ14" i="26"/>
  <c r="AI14" i="26"/>
  <c r="AH14" i="26"/>
  <c r="AG14" i="26"/>
  <c r="AF14" i="26"/>
  <c r="AE14" i="26"/>
  <c r="AK12" i="26"/>
  <c r="AK10" i="26" s="1"/>
  <c r="AJ12" i="26"/>
  <c r="AJ10" i="26" s="1"/>
  <c r="AI12" i="26"/>
  <c r="AI10" i="26" s="1"/>
  <c r="AH12" i="26"/>
  <c r="AH10" i="26" s="1"/>
  <c r="AG12" i="26"/>
  <c r="AG10" i="26" s="1"/>
  <c r="AF12" i="26"/>
  <c r="AF10" i="26" s="1"/>
  <c r="AF20" i="26" l="1"/>
  <c r="AE20" i="26"/>
  <c r="AG20" i="26"/>
  <c r="O30" i="27"/>
  <c r="V10" i="26" s="1"/>
  <c r="AX11" i="26"/>
  <c r="C31" i="27" s="1"/>
  <c r="Q30" i="27"/>
  <c r="AB10" i="26" s="1"/>
  <c r="P30" i="27"/>
  <c r="Y10" i="26" s="1"/>
  <c r="E33" i="27"/>
  <c r="C25" i="27"/>
  <c r="L31" i="27" l="1"/>
  <c r="I33" i="26" s="1"/>
  <c r="M31" i="27"/>
  <c r="L33" i="26" s="1"/>
  <c r="K31" i="27"/>
  <c r="F33" i="26" s="1"/>
  <c r="C33" i="27"/>
  <c r="K33" i="27" s="1"/>
  <c r="C34" i="27"/>
  <c r="E34" i="27" s="1"/>
  <c r="K34" i="27" s="1"/>
  <c r="O34" i="27" l="1"/>
  <c r="Q34" i="27" s="1"/>
  <c r="H16" i="26"/>
  <c r="H12" i="26"/>
  <c r="O33" i="27"/>
  <c r="Q33" i="27" s="1"/>
  <c r="V12" i="26" l="1"/>
  <c r="V16" i="26"/>
  <c r="L12" i="15"/>
  <c r="U12" i="15" s="1"/>
  <c r="L16" i="15" s="1"/>
  <c r="U16" i="15" s="1"/>
  <c r="L20" i="15" s="1"/>
  <c r="B12" i="15"/>
  <c r="G12" i="15" s="1"/>
  <c r="B16" i="15" s="1"/>
  <c r="G16" i="15" s="1"/>
  <c r="B20" i="15" s="1"/>
  <c r="T6" i="15"/>
  <c r="R20" i="15" s="1"/>
  <c r="T4" i="15"/>
  <c r="E20" i="15" s="1"/>
  <c r="D4" i="15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<sst xmlns="http://schemas.openxmlformats.org/spreadsheetml/2006/main" count="637" uniqueCount="178">
  <si>
    <t>日</t>
    <rPh sb="0" eb="1">
      <t>ヒ</t>
    </rPh>
    <phoneticPr fontId="2"/>
  </si>
  <si>
    <t>火</t>
  </si>
  <si>
    <t>水</t>
  </si>
  <si>
    <t>木</t>
  </si>
  <si>
    <t>金</t>
  </si>
  <si>
    <t>土</t>
  </si>
  <si>
    <t>育児休業手当金（変更）請求書</t>
    <rPh sb="0" eb="2">
      <t>イクジ</t>
    </rPh>
    <rPh sb="2" eb="4">
      <t>キュウギョウ</t>
    </rPh>
    <rPh sb="4" eb="6">
      <t>テア</t>
    </rPh>
    <rPh sb="6" eb="7">
      <t>キン</t>
    </rPh>
    <rPh sb="8" eb="10">
      <t>ヘンコウ</t>
    </rPh>
    <rPh sb="11" eb="13">
      <t>セイキュウ</t>
    </rPh>
    <rPh sb="13" eb="14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</si>
  <si>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</si>
  <si>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</si>
  <si>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対象となる子の氏名</t>
    <rPh sb="0" eb="2">
      <t>タイショウ</t>
    </rPh>
    <rPh sb="5" eb="6">
      <t>コ</t>
    </rPh>
    <rPh sb="7" eb="9">
      <t>シメイ</t>
    </rPh>
    <phoneticPr fontId="2"/>
  </si>
  <si>
    <t>生年月日</t>
    <rPh sb="0" eb="2">
      <t>セイネン</t>
    </rPh>
    <rPh sb="2" eb="4">
      <t>ガッピ</t>
    </rPh>
    <phoneticPr fontId="2"/>
  </si>
  <si>
    <t>公立学校共済組合宮城支部長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ミヤギ</t>
    </rPh>
    <rPh sb="10" eb="13">
      <t>シブチョウ</t>
    </rPh>
    <rPh sb="14" eb="15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</si>
  <si>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</si>
  <si>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</si>
  <si>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</si>
  <si>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印</t>
    <rPh sb="0" eb="1">
      <t>イン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</si>
  <si>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</si>
  <si>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</si>
  <si>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㊞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</si>
  <si>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</si>
  <si>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</si>
  <si>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</si>
  <si>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</si>
  <si>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組合員証番号
公立宮城</t>
    <rPh sb="0" eb="3">
      <t>クミアイイン</t>
    </rPh>
    <rPh sb="3" eb="4">
      <t>ショウ</t>
    </rPh>
    <rPh sb="4" eb="6">
      <t>バンゴウ</t>
    </rPh>
    <rPh sb="7" eb="9">
      <t>コウリツ</t>
    </rPh>
    <rPh sb="9" eb="11">
      <t>ミヤギ</t>
    </rPh>
    <phoneticPr fontId="2"/>
  </si>
  <si>
    <t>まで</t>
    <phoneticPr fontId="2"/>
  </si>
  <si>
    <t>所属所長</t>
    <rPh sb="0" eb="2">
      <t>ショゾク</t>
    </rPh>
    <rPh sb="2" eb="4">
      <t>ショチョウ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</si>
  <si>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</si>
  <si>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所属所コード</t>
    <rPh sb="0" eb="2">
      <t>ショゾク</t>
    </rPh>
    <rPh sb="2" eb="3">
      <t>ショ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</si>
  <si>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</si>
  <si>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所属所受理年月日</t>
    <rPh sb="0" eb="2">
      <t>ショゾク</t>
    </rPh>
    <rPh sb="2" eb="3">
      <t>ショ</t>
    </rPh>
    <rPh sb="3" eb="5">
      <t>ジュリ</t>
    </rPh>
    <rPh sb="5" eb="6">
      <t>ネン</t>
    </rPh>
    <rPh sb="6" eb="7">
      <t>ツキ</t>
    </rPh>
    <rPh sb="7" eb="8">
      <t>ヒ</t>
    </rPh>
    <phoneticPr fontId="2"/>
  </si>
  <si>
    <t>【添付書類】</t>
    <rPh sb="1" eb="3">
      <t>テンプ</t>
    </rPh>
    <rPh sb="3" eb="5">
      <t>ショルイ</t>
    </rPh>
    <phoneticPr fontId="2"/>
  </si>
  <si>
    <t>※決定額</t>
    <rPh sb="1" eb="3">
      <t>ケッテイ</t>
    </rPh>
    <rPh sb="3" eb="4">
      <t>ガク</t>
    </rPh>
    <phoneticPr fontId="2"/>
  </si>
  <si>
    <t>育児休業に関する辞令の写し（初回請求時及び育児休業の期間に変更があったとき）</t>
    <rPh sb="0" eb="2">
      <t>イクジ</t>
    </rPh>
    <rPh sb="2" eb="4">
      <t>キュウギョウ</t>
    </rPh>
    <rPh sb="5" eb="6">
      <t>カン</t>
    </rPh>
    <rPh sb="8" eb="10">
      <t>ジレイ</t>
    </rPh>
    <rPh sb="11" eb="12">
      <t>ウツ</t>
    </rPh>
    <rPh sb="14" eb="16">
      <t>ショカイ</t>
    </rPh>
    <rPh sb="16" eb="18">
      <t>セイキュウ</t>
    </rPh>
    <rPh sb="18" eb="19">
      <t>ジ</t>
    </rPh>
    <rPh sb="19" eb="20">
      <t>オヨ</t>
    </rPh>
    <rPh sb="21" eb="23">
      <t>イクジ</t>
    </rPh>
    <rPh sb="23" eb="25">
      <t>キュウギョウ</t>
    </rPh>
    <rPh sb="26" eb="28">
      <t>キカン</t>
    </rPh>
    <rPh sb="29" eb="31">
      <t>ヘンコウ</t>
    </rPh>
    <phoneticPr fontId="2"/>
  </si>
  <si>
    <t>【注意事項】</t>
    <rPh sb="1" eb="3">
      <t>チュウイ</t>
    </rPh>
    <rPh sb="3" eb="5">
      <t>ジコウ</t>
    </rPh>
    <phoneticPr fontId="2"/>
  </si>
  <si>
    <t>○</t>
    <phoneticPr fontId="2"/>
  </si>
  <si>
    <t>青葉　本子</t>
    <rPh sb="0" eb="2">
      <t>アオバ</t>
    </rPh>
    <rPh sb="3" eb="4">
      <t>ホン</t>
    </rPh>
    <rPh sb="4" eb="5">
      <t>コ</t>
    </rPh>
    <phoneticPr fontId="2"/>
  </si>
  <si>
    <t>３　※印欄は記入しないでください。</t>
    <rPh sb="3" eb="4">
      <t>シルシ</t>
    </rPh>
    <rPh sb="4" eb="5">
      <t>ラン</t>
    </rPh>
    <rPh sb="6" eb="8">
      <t>キニュウ</t>
    </rPh>
    <phoneticPr fontId="2"/>
  </si>
  <si>
    <t>日</t>
    <rPh sb="0" eb="1">
      <t>ニチ</t>
    </rPh>
    <phoneticPr fontId="2"/>
  </si>
  <si>
    <t>２　請求期間の末日以降に提出してください。</t>
    <rPh sb="2" eb="4">
      <t>セイキュウ</t>
    </rPh>
    <rPh sb="4" eb="6">
      <t>キカン</t>
    </rPh>
    <rPh sb="7" eb="9">
      <t>マツジツ</t>
    </rPh>
    <rPh sb="9" eb="11">
      <t>イコウ</t>
    </rPh>
    <rPh sb="12" eb="14">
      <t>テイシュツ</t>
    </rPh>
    <phoneticPr fontId="2"/>
  </si>
  <si>
    <t>青葉　福子</t>
    <rPh sb="0" eb="2">
      <t>アオバ</t>
    </rPh>
    <rPh sb="3" eb="4">
      <t>フク</t>
    </rPh>
    <rPh sb="4" eb="5">
      <t>コ</t>
    </rPh>
    <phoneticPr fontId="2"/>
  </si>
  <si>
    <t>○○　○○</t>
    <phoneticPr fontId="2"/>
  </si>
  <si>
    <t>日</t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</si>
  <si>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</si>
  <si>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</si>
  <si>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掛金の基礎となる額</t>
    <rPh sb="0" eb="2">
      <t>カケキン</t>
    </rPh>
    <rPh sb="3" eb="5">
      <t>キソ</t>
    </rPh>
    <rPh sb="8" eb="9">
      <t>ガク</t>
    </rPh>
    <phoneticPr fontId="2"/>
  </si>
  <si>
    <t>変更の場合</t>
    <rPh sb="0" eb="2">
      <t>ヘンコウ</t>
    </rPh>
    <rPh sb="3" eb="5">
      <t>バアイ</t>
    </rPh>
    <phoneticPr fontId="2"/>
  </si>
  <si>
    <t>請求期間（月毎）</t>
    <rPh sb="0" eb="2">
      <t>セイキュウ</t>
    </rPh>
    <rPh sb="2" eb="4">
      <t>キカン</t>
    </rPh>
    <rPh sb="5" eb="6">
      <t>ツキ</t>
    </rPh>
    <rPh sb="6" eb="7">
      <t>ゴト</t>
    </rPh>
    <phoneticPr fontId="2"/>
  </si>
  <si>
    <t>請求日数
（67％支給分）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</si>
  <si>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（67％支給分）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</si>
  <si>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請求日数
（50％支給分）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</si>
  <si>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（50％支給分）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</si>
  <si>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請求期間中の給料の支給についての有無</t>
    <rPh sb="0" eb="2">
      <t>セイキュウ</t>
    </rPh>
    <rPh sb="2" eb="5">
      <t>キカンチュウ</t>
    </rPh>
    <rPh sb="6" eb="8">
      <t>キュウリョウ</t>
    </rPh>
    <rPh sb="9" eb="11">
      <t>シキュウ</t>
    </rPh>
    <rPh sb="16" eb="18">
      <t>ウム</t>
    </rPh>
    <phoneticPr fontId="2"/>
  </si>
  <si>
    <t>無 ・ 有</t>
    <rPh sb="0" eb="1">
      <t>ナ</t>
    </rPh>
    <rPh sb="4" eb="5">
      <t>ア</t>
    </rPh>
    <phoneticPr fontId="2"/>
  </si>
  <si>
    <t>日　</t>
    <rPh sb="0" eb="1">
      <t>ニチ</t>
    </rPh>
    <phoneticPr fontId="2"/>
  </si>
  <si>
    <t>　１　保育所に入所不可（無認可保育所除く）･･･保育所の入所不承諾等の通知書</t>
    <rPh sb="3" eb="5">
      <t>ホイク</t>
    </rPh>
    <rPh sb="5" eb="6">
      <t>ショ</t>
    </rPh>
    <rPh sb="7" eb="9">
      <t>ニュウショ</t>
    </rPh>
    <rPh sb="9" eb="11">
      <t>フカ</t>
    </rPh>
    <rPh sb="12" eb="15">
      <t>ムニンカ</t>
    </rPh>
    <rPh sb="15" eb="17">
      <t>ホイク</t>
    </rPh>
    <rPh sb="17" eb="18">
      <t>ショ</t>
    </rPh>
    <rPh sb="18" eb="19">
      <t>ノゾ</t>
    </rPh>
    <rPh sb="24" eb="26">
      <t>ホイク</t>
    </rPh>
    <rPh sb="26" eb="27">
      <t>ショ</t>
    </rPh>
    <rPh sb="28" eb="30">
      <t>ニュウショ</t>
    </rPh>
    <rPh sb="30" eb="31">
      <t>フ</t>
    </rPh>
    <rPh sb="31" eb="33">
      <t>ショウダク</t>
    </rPh>
    <rPh sb="33" eb="34">
      <t>トウ</t>
    </rPh>
    <rPh sb="35" eb="37">
      <t>ツウチ</t>
    </rPh>
    <rPh sb="37" eb="38">
      <t>ショ</t>
    </rPh>
    <phoneticPr fontId="2"/>
  </si>
  <si>
    <t>　３　配偶者の負傷、疾病等･･･医師の診断書及び母子健康手帳の写し</t>
    <rPh sb="3" eb="6">
      <t>ハイグウシャ</t>
    </rPh>
    <rPh sb="7" eb="9">
      <t>フショウ</t>
    </rPh>
    <rPh sb="10" eb="12">
      <t>シッペイ</t>
    </rPh>
    <rPh sb="12" eb="13">
      <t>トウ</t>
    </rPh>
    <rPh sb="16" eb="18">
      <t>イシ</t>
    </rPh>
    <rPh sb="19" eb="22">
      <t>シンダンショ</t>
    </rPh>
    <rPh sb="22" eb="23">
      <t>オヨ</t>
    </rPh>
    <rPh sb="24" eb="26">
      <t>ボシ</t>
    </rPh>
    <rPh sb="26" eb="28">
      <t>ケンコウ</t>
    </rPh>
    <rPh sb="28" eb="30">
      <t>テチョウ</t>
    </rPh>
    <rPh sb="31" eb="32">
      <t>ウツ</t>
    </rPh>
    <phoneticPr fontId="2"/>
  </si>
  <si>
    <t>１　所属機関の長の証明を受けてから提出してください。</t>
    <rPh sb="2" eb="4">
      <t>ショゾク</t>
    </rPh>
    <rPh sb="4" eb="6">
      <t>キカン</t>
    </rPh>
    <rPh sb="7" eb="8">
      <t>チョウ</t>
    </rPh>
    <rPh sb="9" eb="11">
      <t>ショウメイ</t>
    </rPh>
    <rPh sb="12" eb="13">
      <t>ウ</t>
    </rPh>
    <rPh sb="17" eb="19">
      <t>テイシュツ</t>
    </rPh>
    <phoneticPr fontId="2"/>
  </si>
  <si>
    <t xml:space="preserve">  ４　配偶者の出産･･･母子健康手帳の写し</t>
    <rPh sb="4" eb="7">
      <t>ハイグウシャ</t>
    </rPh>
    <rPh sb="8" eb="10">
      <t>シュッサン</t>
    </rPh>
    <rPh sb="13" eb="15">
      <t>ボシ</t>
    </rPh>
    <rPh sb="15" eb="17">
      <t>ケンコウ</t>
    </rPh>
    <rPh sb="17" eb="19">
      <t>テチョウ</t>
    </rPh>
    <rPh sb="20" eb="21">
      <t>ウツ</t>
    </rPh>
    <phoneticPr fontId="2"/>
  </si>
  <si>
    <t xml:space="preserve">  ２　配偶者の死亡又は別居等･･･住民票の写し及び母子健康手帳の写し</t>
    <rPh sb="4" eb="7">
      <t>ハイグウシャ</t>
    </rPh>
    <rPh sb="8" eb="10">
      <t>シボウ</t>
    </rPh>
    <rPh sb="10" eb="11">
      <t>マタ</t>
    </rPh>
    <rPh sb="12" eb="14">
      <t>ベッキョ</t>
    </rPh>
    <rPh sb="14" eb="15">
      <t>トウ</t>
    </rPh>
    <rPh sb="18" eb="21">
      <t>ジュウミンヒョウ</t>
    </rPh>
    <rPh sb="22" eb="23">
      <t>ウツ</t>
    </rPh>
    <rPh sb="24" eb="25">
      <t>オヨ</t>
    </rPh>
    <rPh sb="26" eb="28">
      <t>ボシ</t>
    </rPh>
    <rPh sb="28" eb="30">
      <t>ケンコウ</t>
    </rPh>
    <rPh sb="30" eb="32">
      <t>テチョウ</t>
    </rPh>
    <rPh sb="33" eb="34">
      <t>ウツ</t>
    </rPh>
    <phoneticPr fontId="2"/>
  </si>
  <si>
    <t>配偶者の育児休業
取得の有無・期間</t>
    <rPh sb="0" eb="3">
      <t>ハイグウシャ</t>
    </rPh>
    <rPh sb="4" eb="6">
      <t>イクジ</t>
    </rPh>
    <rPh sb="6" eb="8">
      <t>キュウギョウ</t>
    </rPh>
    <rPh sb="9" eb="11">
      <t>シュトク</t>
    </rPh>
    <rPh sb="12" eb="14">
      <t>ウム</t>
    </rPh>
    <rPh sb="15" eb="17">
      <t>キカン</t>
    </rPh>
    <phoneticPr fontId="2"/>
  </si>
  <si>
    <t>等級</t>
    <rPh sb="0" eb="2">
      <t>トウキュウ</t>
    </rPh>
    <phoneticPr fontId="2"/>
  </si>
  <si>
    <t>第</t>
    <rPh sb="0" eb="1">
      <t>ダイ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</si>
  <si>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</si>
  <si>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</si>
  <si>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年  号</t>
    <rPh sb="0" eb="1">
      <t>トシ</t>
    </rPh>
    <rPh sb="3" eb="4">
      <t>ゴウ</t>
    </rPh>
    <phoneticPr fontId="2"/>
  </si>
  <si>
    <t xml:space="preserve"> 円</t>
    <rPh sb="1" eb="2">
      <t>エン</t>
    </rPh>
    <phoneticPr fontId="2"/>
  </si>
  <si>
    <t>平成　　年　　月　　日　～　平成　　年　　月　　日　　まで</t>
    <rPh sb="0" eb="2">
      <t>ヘイセイ</t>
    </rPh>
    <rPh sb="4" eb="5">
      <t>ネン</t>
    </rPh>
    <rPh sb="7" eb="8">
      <t>ツキ</t>
    </rPh>
    <rPh sb="10" eb="11">
      <t>ニチ</t>
    </rPh>
    <rPh sb="14" eb="16">
      <t>ヘイセイ</t>
    </rPh>
    <rPh sb="18" eb="19">
      <t>ネン</t>
    </rPh>
    <rPh sb="21" eb="22">
      <t>ツキ</t>
    </rPh>
    <rPh sb="24" eb="25">
      <t>ニチ</t>
    </rPh>
    <phoneticPr fontId="2"/>
  </si>
  <si>
    <t>無　　・　　有</t>
    <rPh sb="0" eb="1">
      <t>ナ</t>
    </rPh>
    <rPh sb="6" eb="7">
      <t>ア</t>
    </rPh>
    <phoneticPr fontId="2"/>
  </si>
  <si>
    <t>対象となる子が、１歳
に達した日以後の支給
期間延長の有無
（地方公務員等共済組合法施行規則第２条の５の３）</t>
    <rPh sb="0" eb="2">
      <t>タイショウ</t>
    </rPh>
    <rPh sb="5" eb="6">
      <t>コ</t>
    </rPh>
    <rPh sb="27" eb="29">
      <t>ウム</t>
    </rPh>
    <rPh sb="32" eb="34">
      <t>チホウ</t>
    </rPh>
    <rPh sb="34" eb="37">
      <t>コウムイン</t>
    </rPh>
    <rPh sb="37" eb="38">
      <t>トウ</t>
    </rPh>
    <rPh sb="38" eb="40">
      <t>キョウサイ</t>
    </rPh>
    <rPh sb="40" eb="42">
      <t>クミアイ</t>
    </rPh>
    <rPh sb="42" eb="43">
      <t>ホウ</t>
    </rPh>
    <rPh sb="43" eb="45">
      <t>シコウ</t>
    </rPh>
    <rPh sb="45" eb="47">
      <t>キソク</t>
    </rPh>
    <rPh sb="47" eb="48">
      <t>ダイ</t>
    </rPh>
    <rPh sb="49" eb="50">
      <t>ジョウ</t>
    </rPh>
    <phoneticPr fontId="2"/>
  </si>
  <si>
    <t>請求者</t>
    <rPh sb="0" eb="3">
      <t>セイキュウシャ</t>
    </rPh>
    <phoneticPr fontId="2"/>
  </si>
  <si>
    <t>曜日</t>
    <rPh sb="0" eb="2">
      <t>ヨウビ</t>
    </rPh>
    <phoneticPr fontId="2"/>
  </si>
  <si>
    <t>期 間</t>
    <rPh sb="0" eb="1">
      <t>キ</t>
    </rPh>
    <rPh sb="2" eb="3">
      <t>アイダ</t>
    </rPh>
    <phoneticPr fontId="2"/>
  </si>
  <si>
    <t>合　　  計</t>
    <rPh sb="0" eb="1">
      <t>ゴウ</t>
    </rPh>
    <rPh sb="5" eb="6">
      <t>ケイ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</si>
  <si>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</si>
  <si>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</si>
  <si>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</si>
  <si>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</si>
  <si>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</si>
  <si>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</si>
  <si>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</si>
  <si>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</si>
  <si>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</si>
  <si>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</si>
  <si>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</si>
  <si>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</si>
  <si>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</si>
  <si>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</si>
  <si>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</si>
  <si>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</si>
  <si>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</si>
  <si>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</si>
  <si>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</si>
  <si>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</si>
  <si>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（記入例）平成28年3月分の請求日数及び請求金額</t>
    <rPh sb="1" eb="3">
      <t>キニュウ</t>
    </rPh>
    <rPh sb="3" eb="4">
      <t>レイ</t>
    </rPh>
    <rPh sb="5" eb="7">
      <t>ヘイセイ</t>
    </rPh>
    <rPh sb="9" eb="10">
      <t>ネン</t>
    </rPh>
    <rPh sb="11" eb="12">
      <t>ガツ</t>
    </rPh>
    <rPh sb="12" eb="13">
      <t>ブン</t>
    </rPh>
    <rPh sb="14" eb="16">
      <t>セイキュウ</t>
    </rPh>
    <rPh sb="16" eb="18">
      <t>ニッスウ</t>
    </rPh>
    <rPh sb="18" eb="19">
      <t>オヨ</t>
    </rPh>
    <rPh sb="20" eb="22">
      <t>セイキュウ</t>
    </rPh>
    <rPh sb="22" eb="24">
      <t>キンガク</t>
    </rPh>
    <phoneticPr fontId="2"/>
  </si>
  <si>
    <t>※　延長事由が消滅した場合は請求できません。（延長途中に保育所に入所した場合など）</t>
    <rPh sb="2" eb="4">
      <t>エンチョウ</t>
    </rPh>
    <rPh sb="4" eb="6">
      <t>ジユウ</t>
    </rPh>
    <rPh sb="7" eb="9">
      <t>ショウメツ</t>
    </rPh>
    <rPh sb="11" eb="13">
      <t>バアイ</t>
    </rPh>
    <rPh sb="14" eb="16">
      <t>セイキュウ</t>
    </rPh>
    <rPh sb="23" eb="25">
      <t>エンチョウ</t>
    </rPh>
    <rPh sb="25" eb="27">
      <t>トチュウ</t>
    </rPh>
    <rPh sb="28" eb="30">
      <t>ホイク</t>
    </rPh>
    <rPh sb="30" eb="31">
      <t>ショ</t>
    </rPh>
    <rPh sb="32" eb="34">
      <t>ニュウショ</t>
    </rPh>
    <rPh sb="36" eb="38">
      <t>バアイ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</si>
  <si>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</si>
  <si>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</si>
  <si>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　有の場合は、該当する番号を○で囲み、その事由を確認できる書類を添付してください。</t>
    <rPh sb="1" eb="2">
      <t>ア</t>
    </rPh>
    <rPh sb="3" eb="5">
      <t>バアイ</t>
    </rPh>
    <rPh sb="7" eb="9">
      <t>ガイトウ</t>
    </rPh>
    <rPh sb="11" eb="13">
      <t>バンゴウ</t>
    </rPh>
    <rPh sb="16" eb="17">
      <t>カコ</t>
    </rPh>
    <rPh sb="21" eb="23">
      <t>ジユウ</t>
    </rPh>
    <rPh sb="24" eb="26">
      <t>カクニン</t>
    </rPh>
    <rPh sb="29" eb="31">
      <t>ショルイ</t>
    </rPh>
    <rPh sb="32" eb="34">
      <t>テンプ</t>
    </rPh>
    <phoneticPr fontId="2"/>
  </si>
  <si>
    <t>○○中学校</t>
    <rPh sb="2" eb="5">
      <t>チュウガッコウ</t>
    </rPh>
    <phoneticPr fontId="2"/>
  </si>
  <si>
    <t>○8</t>
    <phoneticPr fontId="2"/>
  </si>
  <si>
    <t>月</t>
  </si>
  <si>
    <t>火</t>
    <rPh sb="0" eb="1">
      <t>ヒ</t>
    </rPh>
    <phoneticPr fontId="2"/>
  </si>
  <si>
    <t>○9</t>
    <phoneticPr fontId="2"/>
  </si>
  <si>
    <t>仙台市青葉区○○○1-2-3</t>
    <rPh sb="0" eb="3">
      <t>センダイシ</t>
    </rPh>
    <rPh sb="3" eb="6">
      <t>アオバク</t>
    </rPh>
    <phoneticPr fontId="2"/>
  </si>
  <si>
    <t>※該当日に丸か色付</t>
    <rPh sb="1" eb="3">
      <t>ガイトウ</t>
    </rPh>
    <rPh sb="3" eb="4">
      <t>ニチ</t>
    </rPh>
    <rPh sb="5" eb="6">
      <t>マル</t>
    </rPh>
    <rPh sb="7" eb="8">
      <t>イロ</t>
    </rPh>
    <rPh sb="8" eb="9">
      <t>ツケ</t>
    </rPh>
    <phoneticPr fontId="2"/>
  </si>
  <si>
    <t>○○○中学校</t>
    <rPh sb="3" eb="6">
      <t>チュウガッコウ</t>
    </rPh>
    <phoneticPr fontId="2"/>
  </si>
  <si>
    <t>給付上限額（平成28年8月1日～平成29年7月31日まで）</t>
    <rPh sb="0" eb="2">
      <t>キュウフ</t>
    </rPh>
    <rPh sb="2" eb="4">
      <t>ジョウゲン</t>
    </rPh>
    <rPh sb="4" eb="5">
      <t>ガク</t>
    </rPh>
    <rPh sb="6" eb="8">
      <t>ヘイセイ</t>
    </rPh>
    <rPh sb="10" eb="11">
      <t>ネン</t>
    </rPh>
    <rPh sb="12" eb="13">
      <t>ツキ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phoneticPr fontId="2"/>
  </si>
  <si>
    <t>１２３４５６</t>
    <phoneticPr fontId="2"/>
  </si>
  <si>
    <t>所属所名</t>
    <rPh sb="0" eb="2">
      <t>ショゾク</t>
    </rPh>
    <rPh sb="2" eb="4">
      <t>ショメイ</t>
    </rPh>
    <phoneticPr fontId="2"/>
  </si>
  <si>
    <t>組合員氏名</t>
    <rPh sb="0" eb="2">
      <t>クミアイ</t>
    </rPh>
    <rPh sb="2" eb="3">
      <t>イン</t>
    </rPh>
    <rPh sb="3" eb="5">
      <t>シメイ</t>
    </rPh>
    <phoneticPr fontId="2"/>
  </si>
  <si>
    <t>組合員証番号</t>
    <rPh sb="0" eb="3">
      <t>クミアイイン</t>
    </rPh>
    <rPh sb="3" eb="4">
      <t>アカシ</t>
    </rPh>
    <rPh sb="4" eb="6">
      <t>バンゴウ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</si>
  <si>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</si>
  <si>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～</t>
    <phoneticPr fontId="2"/>
  </si>
  <si>
    <t>～</t>
    <phoneticPr fontId="2"/>
  </si>
  <si>
    <t>校長名</t>
    <rPh sb="0" eb="3">
      <t>コウチョウメイ</t>
    </rPh>
    <phoneticPr fontId="2"/>
  </si>
  <si>
    <t>学校名（市町村名から）</t>
    <rPh sb="0" eb="3">
      <t>ガッコウメイ</t>
    </rPh>
    <rPh sb="4" eb="8">
      <t>シチョウソンメイ</t>
    </rPh>
    <phoneticPr fontId="2"/>
  </si>
  <si>
    <t>（参考）</t>
    <rPh sb="1" eb="3">
      <t>サンコウ</t>
    </rPh>
    <phoneticPr fontId="2"/>
  </si>
  <si>
    <t>育休開始日</t>
    <rPh sb="0" eb="2">
      <t>イクキュウ</t>
    </rPh>
    <rPh sb="2" eb="5">
      <t>カイシビ</t>
    </rPh>
    <phoneticPr fontId="2"/>
  </si>
  <si>
    <t>１才に達する日</t>
    <rPh sb="1" eb="2">
      <t>サイ</t>
    </rPh>
    <rPh sb="3" eb="4">
      <t>タッ</t>
    </rPh>
    <rPh sb="6" eb="7">
      <t>ヒ</t>
    </rPh>
    <phoneticPr fontId="2"/>
  </si>
  <si>
    <t>１才半に達する日</t>
    <rPh sb="1" eb="2">
      <t>サイ</t>
    </rPh>
    <rPh sb="2" eb="3">
      <t>ハン</t>
    </rPh>
    <rPh sb="4" eb="5">
      <t>タッ</t>
    </rPh>
    <rPh sb="7" eb="8">
      <t>ヒ</t>
    </rPh>
    <phoneticPr fontId="2"/>
  </si>
  <si>
    <t>６７％支給期間</t>
    <rPh sb="3" eb="5">
      <t>シキュウ</t>
    </rPh>
    <rPh sb="5" eb="7">
      <t>キカン</t>
    </rPh>
    <rPh sb="6" eb="7">
      <t>サイゴ</t>
    </rPh>
    <phoneticPr fontId="2"/>
  </si>
  <si>
    <t>５０％支給期間</t>
    <rPh sb="3" eb="5">
      <t>シキュウ</t>
    </rPh>
    <rPh sb="5" eb="7">
      <t>キカン</t>
    </rPh>
    <phoneticPr fontId="2"/>
  </si>
  <si>
    <t>～</t>
    <phoneticPr fontId="2"/>
  </si>
  <si>
    <t>給付上限額</t>
    <rPh sb="0" eb="2">
      <t>キュウフ</t>
    </rPh>
    <rPh sb="2" eb="5">
      <t>ジョウゲンガク</t>
    </rPh>
    <phoneticPr fontId="2"/>
  </si>
  <si>
    <t>円</t>
    <rPh sb="0" eb="1">
      <t>エン</t>
    </rPh>
    <phoneticPr fontId="2"/>
  </si>
  <si>
    <t>÷</t>
    <phoneticPr fontId="2"/>
  </si>
  <si>
    <t>＝</t>
    <phoneticPr fontId="2"/>
  </si>
  <si>
    <t>　〃　　　　変更の場合</t>
    <rPh sb="6" eb="8">
      <t>ヘンコウ</t>
    </rPh>
    <rPh sb="9" eb="11">
      <t>バアイ</t>
    </rPh>
    <phoneticPr fontId="2"/>
  </si>
  <si>
    <t>短期給付の等級</t>
    <rPh sb="0" eb="2">
      <t>タンキ</t>
    </rPh>
    <rPh sb="2" eb="4">
      <t>キュウフ</t>
    </rPh>
    <rPh sb="5" eb="7">
      <t>トウキュウ</t>
    </rPh>
    <phoneticPr fontId="2"/>
  </si>
  <si>
    <t>組合員住所</t>
    <rPh sb="0" eb="3">
      <t>クミアイイン</t>
    </rPh>
    <rPh sb="3" eb="5">
      <t>ジュウショ</t>
    </rPh>
    <phoneticPr fontId="2"/>
  </si>
  <si>
    <t>　校長　　豊　嶋　　勝</t>
    <rPh sb="1" eb="3">
      <t>コウチョウ</t>
    </rPh>
    <rPh sb="5" eb="6">
      <t>ユタカ</t>
    </rPh>
    <rPh sb="7" eb="8">
      <t>シマ</t>
    </rPh>
    <rPh sb="10" eb="11">
      <t>マサル</t>
    </rPh>
    <phoneticPr fontId="2"/>
  </si>
  <si>
    <t>この欄に該当がある場合は
直接入力してください。</t>
    <rPh sb="2" eb="3">
      <t>ラン</t>
    </rPh>
    <rPh sb="4" eb="6">
      <t>ガイトウ</t>
    </rPh>
    <rPh sb="9" eb="11">
      <t>バアイ</t>
    </rPh>
    <rPh sb="13" eb="15">
      <t>チョクセツ</t>
    </rPh>
    <rPh sb="15" eb="17">
      <t>ニュウリョク</t>
    </rPh>
    <phoneticPr fontId="2"/>
  </si>
  <si>
    <t>ここから下を入力してください</t>
    <rPh sb="4" eb="5">
      <t>シタ</t>
    </rPh>
    <rPh sb="6" eb="8">
      <t>ニュウリョク</t>
    </rPh>
    <phoneticPr fontId="2"/>
  </si>
  <si>
    <t>ここから下は入力不要です</t>
    <rPh sb="4" eb="5">
      <t>シタ</t>
    </rPh>
    <rPh sb="6" eb="8">
      <t>ニュウリョク</t>
    </rPh>
    <rPh sb="8" eb="10">
      <t>フヨウ</t>
    </rPh>
    <phoneticPr fontId="2"/>
  </si>
  <si>
    <t>＊変更の場合のみ入力</t>
    <rPh sb="1" eb="3">
      <t>ヘンコウ</t>
    </rPh>
    <rPh sb="4" eb="6">
      <t>バアイ</t>
    </rPh>
    <rPh sb="8" eb="10">
      <t>ニュウリョク</t>
    </rPh>
    <phoneticPr fontId="2"/>
  </si>
  <si>
    <t>６７％13,622円はH29.8～</t>
    <rPh sb="9" eb="10">
      <t>エン</t>
    </rPh>
    <phoneticPr fontId="2"/>
  </si>
  <si>
    <t>データは、産後休暇の翌日から育児休業を想定して作成しています。</t>
    <rPh sb="5" eb="7">
      <t>サンゴ</t>
    </rPh>
    <rPh sb="7" eb="9">
      <t>キュウカ</t>
    </rPh>
    <rPh sb="10" eb="12">
      <t>ヨクジツ</t>
    </rPh>
    <rPh sb="14" eb="16">
      <t>イクジ</t>
    </rPh>
    <rPh sb="16" eb="18">
      <t>キュウギョウ</t>
    </rPh>
    <rPh sb="19" eb="21">
      <t>ソウテイ</t>
    </rPh>
    <rPh sb="23" eb="25">
      <t>サクセイ</t>
    </rPh>
    <phoneticPr fontId="2"/>
  </si>
  <si>
    <t>金額やデータの確認は、各自おこなってください。</t>
    <rPh sb="0" eb="2">
      <t>キンガク</t>
    </rPh>
    <rPh sb="7" eb="9">
      <t>カクニン</t>
    </rPh>
    <rPh sb="11" eb="13">
      <t>カクジ</t>
    </rPh>
    <phoneticPr fontId="2"/>
  </si>
  <si>
    <t>様式シートは保護してあります。パスワードは入っていません。</t>
    <rPh sb="0" eb="2">
      <t>ヨウシキ</t>
    </rPh>
    <rPh sb="6" eb="8">
      <t>ホゴ</t>
    </rPh>
    <rPh sb="21" eb="22">
      <t>ハイ</t>
    </rPh>
    <phoneticPr fontId="2"/>
  </si>
  <si>
    <t>毎年８月～９月にくる通知書又は宮城支部のHPをみて転記</t>
    <rPh sb="0" eb="2">
      <t>マイトシ</t>
    </rPh>
    <rPh sb="3" eb="4">
      <t>ガツ</t>
    </rPh>
    <rPh sb="6" eb="7">
      <t>ガツ</t>
    </rPh>
    <rPh sb="10" eb="13">
      <t>ツウチショ</t>
    </rPh>
    <rPh sb="13" eb="14">
      <t>マタ</t>
    </rPh>
    <rPh sb="15" eb="17">
      <t>ミヤギ</t>
    </rPh>
    <rPh sb="17" eb="19">
      <t>シブ</t>
    </rPh>
    <rPh sb="25" eb="27">
      <t>テンキ</t>
    </rPh>
    <phoneticPr fontId="2"/>
  </si>
  <si>
    <t>様式シート</t>
    <rPh sb="0" eb="2">
      <t>ヨウシキ</t>
    </rPh>
    <phoneticPr fontId="2"/>
  </si>
  <si>
    <t>請求期間と請求日を入力します。</t>
    <phoneticPr fontId="2"/>
  </si>
  <si>
    <t>必要事項を入力します。</t>
  </si>
  <si>
    <t>データシート</t>
    <phoneticPr fontId="2"/>
  </si>
  <si>
    <t>生年月日の元号の○をどちらか消します。（初回のみ）</t>
    <rPh sb="20" eb="22">
      <t>ショカイ</t>
    </rPh>
    <phoneticPr fontId="2"/>
  </si>
  <si>
    <t>不具合がありましたら、連絡ください。修正できるものは修正します。</t>
    <rPh sb="0" eb="3">
      <t>フグアイ</t>
    </rPh>
    <rPh sb="11" eb="13">
      <t>レンラク</t>
    </rPh>
    <rPh sb="18" eb="20">
      <t>シュウセイ</t>
    </rPh>
    <rPh sb="26" eb="28">
      <t>シュウセイ</t>
    </rPh>
    <phoneticPr fontId="2"/>
  </si>
  <si>
    <t>保存</t>
    <rPh sb="0" eb="2">
      <t>ホゾン</t>
    </rPh>
    <phoneticPr fontId="2"/>
  </si>
  <si>
    <t>名前をつけて保存します。育休手当金○○（氏名）H2909　などがよいかと思います。</t>
    <rPh sb="0" eb="2">
      <t>ナマエ</t>
    </rPh>
    <rPh sb="6" eb="8">
      <t>ホゾン</t>
    </rPh>
    <rPh sb="12" eb="14">
      <t>イクキュウ</t>
    </rPh>
    <rPh sb="14" eb="17">
      <t>テアテキン</t>
    </rPh>
    <rPh sb="20" eb="22">
      <t>シメイ</t>
    </rPh>
    <rPh sb="36" eb="37">
      <t>オモ</t>
    </rPh>
    <phoneticPr fontId="2"/>
  </si>
  <si>
    <t>記入例シートから計算シートは共済組合からダウンロードしたものです。</t>
    <rPh sb="0" eb="2">
      <t>キニュウ</t>
    </rPh>
    <rPh sb="2" eb="3">
      <t>レイ</t>
    </rPh>
    <rPh sb="8" eb="10">
      <t>ケイサン</t>
    </rPh>
    <rPh sb="14" eb="16">
      <t>キョウサイ</t>
    </rPh>
    <rPh sb="16" eb="18">
      <t>クミア</t>
    </rPh>
    <phoneticPr fontId="2"/>
  </si>
  <si>
    <t>産休後育児休業をする場合のスタート日です</t>
    <rPh sb="0" eb="2">
      <t>サンキュウ</t>
    </rPh>
    <rPh sb="2" eb="3">
      <t>ゴ</t>
    </rPh>
    <rPh sb="3" eb="5">
      <t>イクジ</t>
    </rPh>
    <rPh sb="5" eb="7">
      <t>キュウギョウ</t>
    </rPh>
    <rPh sb="10" eb="12">
      <t>バアイ</t>
    </rPh>
    <rPh sb="17" eb="18">
      <t>ビ</t>
    </rPh>
    <phoneticPr fontId="2"/>
  </si>
  <si>
    <t>w</t>
    <phoneticPr fontId="2"/>
  </si>
  <si>
    <t>育休手当金支給期間</t>
    <rPh sb="0" eb="2">
      <t>イクキュウ</t>
    </rPh>
    <rPh sb="2" eb="4">
      <t>テアテ</t>
    </rPh>
    <rPh sb="4" eb="5">
      <t>キン</t>
    </rPh>
    <rPh sb="5" eb="7">
      <t>シキュウ</t>
    </rPh>
    <rPh sb="7" eb="9">
      <t>キカン</t>
    </rPh>
    <phoneticPr fontId="2"/>
  </si>
  <si>
    <t>支給期間が
上記と異なる場合入力</t>
    <rPh sb="0" eb="2">
      <t>シキュウ</t>
    </rPh>
    <rPh sb="2" eb="4">
      <t>キカン</t>
    </rPh>
    <rPh sb="6" eb="8">
      <t>ジョウキ</t>
    </rPh>
    <rPh sb="9" eb="10">
      <t>コト</t>
    </rPh>
    <rPh sb="12" eb="14">
      <t>バアイ</t>
    </rPh>
    <rPh sb="14" eb="16">
      <t>ニュウリョク</t>
    </rPh>
    <phoneticPr fontId="2"/>
  </si>
  <si>
    <t>←保育所入所不可により、支給期間が延長となった
　　場合、最終支給日を入力してください。</t>
    <rPh sb="1" eb="3">
      <t>ホイク</t>
    </rPh>
    <rPh sb="3" eb="4">
      <t>ショ</t>
    </rPh>
    <rPh sb="4" eb="6">
      <t>ニュウショ</t>
    </rPh>
    <rPh sb="6" eb="8">
      <t>フカ</t>
    </rPh>
    <rPh sb="12" eb="14">
      <t>シキュウ</t>
    </rPh>
    <rPh sb="14" eb="16">
      <t>キカン</t>
    </rPh>
    <rPh sb="17" eb="19">
      <t>エンチョウ</t>
    </rPh>
    <rPh sb="26" eb="28">
      <t>バアイ</t>
    </rPh>
    <rPh sb="29" eb="31">
      <t>サイシュウ</t>
    </rPh>
    <rPh sb="31" eb="33">
      <t>シキュウ</t>
    </rPh>
    <rPh sb="33" eb="34">
      <t>ビ</t>
    </rPh>
    <rPh sb="35" eb="37">
      <t>ニュウリョク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</si>
  <si>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</si>
  <si>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</si>
  <si>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請求年と月を入力してください。</t>
    <rPh sb="0" eb="2">
      <t>セイキュウ</t>
    </rPh>
    <rPh sb="2" eb="3">
      <t>ネン</t>
    </rPh>
    <rPh sb="4" eb="5">
      <t>ツキ</t>
    </rPh>
    <rPh sb="6" eb="8">
      <t>ニュウリョク</t>
    </rPh>
    <phoneticPr fontId="2"/>
  </si>
  <si>
    <t>月分</t>
    <rPh sb="0" eb="1">
      <t>ガツ</t>
    </rPh>
    <rPh sb="1" eb="2">
      <t>ブン</t>
    </rPh>
    <phoneticPr fontId="2"/>
  </si>
  <si>
    <t>～</t>
    <phoneticPr fontId="2"/>
  </si>
  <si>
    <t xml:space="preserve">  請求期間</t>
    <rPh sb="2" eb="4">
      <t>セイキュウ</t>
    </rPh>
    <rPh sb="4" eb="6">
      <t>キカン</t>
    </rPh>
    <phoneticPr fontId="2"/>
  </si>
  <si>
    <t xml:space="preserve">  今回の請求日数</t>
    <rPh sb="2" eb="4">
      <t>コンカイ</t>
    </rPh>
    <rPh sb="5" eb="7">
      <t>セイキュウ</t>
    </rPh>
    <rPh sb="7" eb="9">
      <t>ニッスウ</t>
    </rPh>
    <phoneticPr fontId="2"/>
  </si>
  <si>
    <t xml:space="preserve">  請求日</t>
    <rPh sb="2" eb="4">
      <t>セイキュウ</t>
    </rPh>
    <rPh sb="4" eb="5">
      <t>ヒ</t>
    </rPh>
    <phoneticPr fontId="2"/>
  </si>
  <si>
    <t>請求日（自動入力）</t>
    <rPh sb="0" eb="3">
      <t>セイキュウビ</t>
    </rPh>
    <rPh sb="4" eb="6">
      <t>ジドウ</t>
    </rPh>
    <rPh sb="6" eb="8">
      <t>ニュウリョク</t>
    </rPh>
    <phoneticPr fontId="2"/>
  </si>
  <si>
    <t>請求日を手動入力したい場合
H30/1/4　のように入力　→　</t>
    <rPh sb="0" eb="3">
      <t>セイキュウビ</t>
    </rPh>
    <rPh sb="4" eb="6">
      <t>シュドウ</t>
    </rPh>
    <rPh sb="6" eb="8">
      <t>ニュウリョク</t>
    </rPh>
    <rPh sb="11" eb="13">
      <t>バアイ</t>
    </rPh>
    <rPh sb="26" eb="28">
      <t>ニュウリョク</t>
    </rPh>
    <phoneticPr fontId="2"/>
  </si>
  <si>
    <t>←校長の異動があった場合には修正してください</t>
    <rPh sb="1" eb="3">
      <t>コウチョウ</t>
    </rPh>
    <rPh sb="4" eb="6">
      <t>イドウ</t>
    </rPh>
    <rPh sb="10" eb="12">
      <t>バアイ</t>
    </rPh>
    <rPh sb="14" eb="16">
      <t>シュウセイ</t>
    </rPh>
    <phoneticPr fontId="2"/>
  </si>
  <si>
    <t>（標準報酬月額が３０万未満の場合、入力しなくても大丈夫）</t>
    <rPh sb="1" eb="3">
      <t>ヒョウジュン</t>
    </rPh>
    <rPh sb="3" eb="5">
      <t>ホウシュウ</t>
    </rPh>
    <rPh sb="5" eb="7">
      <t>ゲツガク</t>
    </rPh>
    <rPh sb="10" eb="11">
      <t>マン</t>
    </rPh>
    <rPh sb="11" eb="13">
      <t>ミマン</t>
    </rPh>
    <rPh sb="14" eb="16">
      <t>バアイ</t>
    </rPh>
    <rPh sb="17" eb="19">
      <t>ニュウリョク</t>
    </rPh>
    <rPh sb="24" eb="27">
      <t>ダイジョウブ</t>
    </rPh>
    <phoneticPr fontId="2"/>
  </si>
  <si>
    <t>この赤枠内のみ毎月入力してください</t>
    <rPh sb="2" eb="3">
      <t>アカ</t>
    </rPh>
    <rPh sb="3" eb="4">
      <t>ワク</t>
    </rPh>
    <rPh sb="4" eb="5">
      <t>ナイ</t>
    </rPh>
    <rPh sb="7" eb="9">
      <t>マイツキ</t>
    </rPh>
    <rPh sb="9" eb="11">
      <t>ニュウリョク</t>
    </rPh>
    <phoneticPr fontId="2"/>
  </si>
  <si>
    <t>（参考）育休開始日</t>
    <rPh sb="1" eb="3">
      <t>サンコウ</t>
    </rPh>
    <rPh sb="4" eb="6">
      <t>イクキュウ</t>
    </rPh>
    <rPh sb="6" eb="8">
      <t>カイシ</t>
    </rPh>
    <rPh sb="8" eb="9">
      <t>ビ</t>
    </rPh>
    <phoneticPr fontId="2"/>
  </si>
  <si>
    <t>２２～３４行目　データが入っています。エクセル取り扱いが不安な人は、非表示にしてお使いください。</t>
    <rPh sb="5" eb="7">
      <t>ギョウメ</t>
    </rPh>
    <rPh sb="12" eb="13">
      <t>ハイ</t>
    </rPh>
    <rPh sb="23" eb="24">
      <t>ト</t>
    </rPh>
    <rPh sb="25" eb="26">
      <t>アツカ</t>
    </rPh>
    <rPh sb="28" eb="30">
      <t>フアン</t>
    </rPh>
    <rPh sb="31" eb="32">
      <t>ヒト</t>
    </rPh>
    <rPh sb="34" eb="37">
      <t>ヒヒョウジ</t>
    </rPh>
    <rPh sb="41" eb="42">
      <t>ツカ</t>
    </rPh>
    <phoneticPr fontId="2"/>
  </si>
  <si>
    <t>名取市立○○小学校</t>
    <rPh sb="0" eb="4">
      <t>ナトリシリツ</t>
    </rPh>
    <rPh sb="6" eb="9">
      <t>ショウガッコウ</t>
    </rPh>
    <phoneticPr fontId="2"/>
  </si>
  <si>
    <t>山田　太郎</t>
    <rPh sb="0" eb="2">
      <t>ヤマダ</t>
    </rPh>
    <rPh sb="3" eb="5">
      <t>タロウ</t>
    </rPh>
    <phoneticPr fontId="2"/>
  </si>
  <si>
    <t>○○小</t>
    <rPh sb="2" eb="3">
      <t>ショウ</t>
    </rPh>
    <phoneticPr fontId="2"/>
  </si>
  <si>
    <t>名取　花子</t>
    <rPh sb="0" eb="2">
      <t>ナトリ</t>
    </rPh>
    <rPh sb="3" eb="5">
      <t>ハナコ</t>
    </rPh>
    <phoneticPr fontId="2"/>
  </si>
  <si>
    <t>仙台市太白区長町南１－２－３</t>
    <rPh sb="0" eb="3">
      <t>センダイシ</t>
    </rPh>
    <rPh sb="3" eb="6">
      <t>タイハクク</t>
    </rPh>
    <rPh sb="6" eb="8">
      <t>ナガマチ</t>
    </rPh>
    <rPh sb="8" eb="9">
      <t>ミナミ</t>
    </rPh>
    <phoneticPr fontId="2"/>
  </si>
  <si>
    <t>名取　太陽</t>
    <rPh sb="0" eb="2">
      <t>ナトリ</t>
    </rPh>
    <rPh sb="3" eb="5">
      <t>タイヨウ</t>
    </rPh>
    <phoneticPr fontId="2"/>
  </si>
  <si>
    <t>←初回のみ　昭和・平成　どちらかの○を消してください</t>
    <rPh sb="1" eb="3">
      <t>ショカイ</t>
    </rPh>
    <rPh sb="6" eb="8">
      <t>ショウワ</t>
    </rPh>
    <rPh sb="9" eb="11">
      <t>ヘイセイ</t>
    </rPh>
    <rPh sb="19" eb="20">
      <t>ケ</t>
    </rPh>
    <phoneticPr fontId="2"/>
  </si>
  <si>
    <t>２才に達する日</t>
    <rPh sb="1" eb="2">
      <t>サイ</t>
    </rPh>
    <rPh sb="3" eb="4">
      <t>タッ</t>
    </rPh>
    <rPh sb="6" eb="7">
      <t>ヒ</t>
    </rPh>
    <phoneticPr fontId="2"/>
  </si>
  <si>
    <t>元号が変わった時には、使えなくなると思います。</t>
    <rPh sb="0" eb="2">
      <t>ゲンゴウ</t>
    </rPh>
    <rPh sb="3" eb="4">
      <t>カ</t>
    </rPh>
    <rPh sb="7" eb="8">
      <t>トキ</t>
    </rPh>
    <rPh sb="11" eb="12">
      <t>ツカ</t>
    </rPh>
    <rPh sb="18" eb="19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</si>
</sst>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d"/>
    <numFmt numFmtId="178" formatCode="aaa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9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HGｺﾞｼｯｸM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textRotation="255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8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18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58" fontId="0" fillId="0" borderId="33" xfId="0" applyNumberFormat="1" applyBorder="1" applyAlignment="1">
      <alignment horizontal="center" vertical="center"/>
    </xf>
    <xf numFmtId="57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58" fontId="0" fillId="0" borderId="31" xfId="0" applyNumberFormat="1" applyBorder="1" applyAlignment="1">
      <alignment horizontal="center" vertical="center"/>
    </xf>
    <xf numFmtId="38" fontId="13" fillId="0" borderId="31" xfId="1" applyFont="1" applyBorder="1" applyAlignment="1">
      <alignment horizontal="center" vertical="center"/>
    </xf>
    <xf numFmtId="58" fontId="16" fillId="0" borderId="31" xfId="0" applyNumberFormat="1" applyFont="1" applyBorder="1" applyAlignment="1">
      <alignment horizontal="center" vertical="center"/>
    </xf>
    <xf numFmtId="38" fontId="17" fillId="0" borderId="31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8" fillId="0" borderId="18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4" fillId="8" borderId="0" xfId="0" applyFont="1" applyFill="1" applyBorder="1" applyAlignment="1">
      <alignment vertical="center" textRotation="255"/>
    </xf>
    <xf numFmtId="0" fontId="4" fillId="8" borderId="9" xfId="0" applyFont="1" applyFill="1" applyBorder="1" applyAlignment="1">
      <alignment vertical="center" textRotation="255"/>
    </xf>
    <xf numFmtId="0" fontId="4" fillId="8" borderId="5" xfId="0" applyFont="1" applyFill="1" applyBorder="1" applyAlignment="1">
      <alignment vertical="center" textRotation="255"/>
    </xf>
    <xf numFmtId="0" fontId="3" fillId="8" borderId="6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5" fillId="8" borderId="17" xfId="0" applyFont="1" applyFill="1" applyBorder="1" applyAlignment="1">
      <alignment horizontal="center" vertical="top" textRotation="255"/>
    </xf>
    <xf numFmtId="0" fontId="3" fillId="8" borderId="9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distributed" vertical="center"/>
    </xf>
    <xf numFmtId="0" fontId="3" fillId="8" borderId="9" xfId="0" applyFont="1" applyFill="1" applyBorder="1" applyAlignment="1">
      <alignment horizontal="distributed" vertical="center"/>
    </xf>
    <xf numFmtId="0" fontId="3" fillId="8" borderId="4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7" fillId="8" borderId="14" xfId="0" applyFont="1" applyFill="1" applyBorder="1" applyAlignment="1">
      <alignment horizontal="center" vertical="center"/>
    </xf>
    <xf numFmtId="178" fontId="3" fillId="8" borderId="10" xfId="0" applyNumberFormat="1" applyFont="1" applyFill="1" applyBorder="1" applyAlignment="1">
      <alignment horizontal="center" vertical="center"/>
    </xf>
    <xf numFmtId="178" fontId="3" fillId="8" borderId="2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57" fontId="2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57" fontId="26" fillId="0" borderId="0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57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7" fontId="8" fillId="0" borderId="39" xfId="0" applyNumberFormat="1" applyFont="1" applyFill="1" applyBorder="1" applyAlignment="1">
      <alignment horizontal="center" vertical="center"/>
    </xf>
    <xf numFmtId="177" fontId="8" fillId="0" borderId="40" xfId="0" applyNumberFormat="1" applyFont="1" applyFill="1" applyBorder="1" applyAlignment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177" fontId="8" fillId="0" borderId="42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horizontal="right" vertical="center"/>
      <protection locked="0"/>
    </xf>
    <xf numFmtId="0" fontId="5" fillId="8" borderId="9" xfId="0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9" xfId="0" applyFont="1" applyFill="1" applyBorder="1" applyAlignment="1" applyProtection="1">
      <alignment vertical="center"/>
      <protection locked="0"/>
    </xf>
    <xf numFmtId="0" fontId="5" fillId="8" borderId="3" xfId="0" applyFont="1" applyFill="1" applyBorder="1" applyAlignment="1" applyProtection="1">
      <alignment vertical="center"/>
      <protection locked="0"/>
    </xf>
    <xf numFmtId="0" fontId="5" fillId="8" borderId="0" xfId="0" applyFont="1" applyFill="1" applyBorder="1" applyAlignment="1" applyProtection="1">
      <alignment vertical="center"/>
      <protection locked="0"/>
    </xf>
    <xf numFmtId="0" fontId="5" fillId="8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 vertical="center" indent="1"/>
    </xf>
    <xf numFmtId="57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0" xfId="0" applyFont="1" applyFill="1" applyAlignment="1">
      <alignment horizontal="center" vertical="center"/>
    </xf>
    <xf numFmtId="57" fontId="30" fillId="9" borderId="0" xfId="0" applyNumberFormat="1" applyFont="1" applyFill="1" applyAlignment="1">
      <alignment horizontal="center" vertical="center"/>
    </xf>
    <xf numFmtId="38" fontId="30" fillId="9" borderId="0" xfId="1" applyFont="1" applyFill="1" applyAlignment="1">
      <alignment vertical="center"/>
    </xf>
    <xf numFmtId="57" fontId="30" fillId="7" borderId="0" xfId="0" applyNumberFormat="1" applyFont="1" applyFill="1" applyAlignment="1">
      <alignment horizontal="center" vertical="center"/>
    </xf>
    <xf numFmtId="38" fontId="30" fillId="7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30" fillId="0" borderId="0" xfId="1" applyFont="1" applyFill="1" applyAlignment="1">
      <alignment vertical="center"/>
    </xf>
    <xf numFmtId="176" fontId="30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distributed" vertical="center" indent="1"/>
    </xf>
    <xf numFmtId="176" fontId="0" fillId="0" borderId="0" xfId="0" applyNumberFormat="1" applyFill="1" applyAlignment="1">
      <alignment horizontal="center" vertical="center"/>
    </xf>
    <xf numFmtId="0" fontId="27" fillId="0" borderId="5" xfId="0" applyFont="1" applyFill="1" applyBorder="1" applyAlignment="1" applyProtection="1">
      <alignment vertical="center"/>
      <protection locked="0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57" fontId="0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0" xfId="0" applyNumberFormat="1" applyFont="1" applyFill="1" applyBorder="1" applyAlignment="1">
      <alignment vertical="center"/>
    </xf>
    <xf numFmtId="177" fontId="8" fillId="0" borderId="42" xfId="0" applyNumberFormat="1" applyFont="1" applyFill="1" applyBorder="1" applyAlignment="1">
      <alignment vertical="center"/>
    </xf>
    <xf numFmtId="177" fontId="8" fillId="0" borderId="43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176" fontId="0" fillId="7" borderId="0" xfId="0" applyNumberFormat="1" applyFill="1" applyAlignment="1">
      <alignment horizontal="center" vertical="center"/>
    </xf>
    <xf numFmtId="0" fontId="31" fillId="0" borderId="37" xfId="0" applyFont="1" applyBorder="1" applyAlignment="1">
      <alignment vertical="center"/>
    </xf>
    <xf numFmtId="0" fontId="7" fillId="8" borderId="1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7" fontId="27" fillId="1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10" borderId="1" xfId="0" applyFont="1" applyFill="1" applyBorder="1" applyAlignment="1" applyProtection="1">
      <alignment horizontal="center" vertical="center" wrapText="1"/>
      <protection locked="0"/>
    </xf>
    <xf numFmtId="0" fontId="27" fillId="10" borderId="2" xfId="0" applyFont="1" applyFill="1" applyBorder="1" applyAlignment="1" applyProtection="1">
      <alignment horizontal="center" vertical="center" wrapText="1"/>
      <protection locked="0"/>
    </xf>
    <xf numFmtId="0" fontId="27" fillId="10" borderId="3" xfId="0" applyFont="1" applyFill="1" applyBorder="1" applyAlignment="1" applyProtection="1">
      <alignment horizontal="center" vertical="center" wrapText="1"/>
      <protection locked="0"/>
    </xf>
    <xf numFmtId="0" fontId="27" fillId="10" borderId="0" xfId="0" applyFont="1" applyFill="1" applyBorder="1" applyAlignment="1" applyProtection="1">
      <alignment horizontal="center" vertical="center" wrapText="1"/>
      <protection locked="0"/>
    </xf>
    <xf numFmtId="0" fontId="27" fillId="10" borderId="9" xfId="0" applyFont="1" applyFill="1" applyBorder="1" applyAlignment="1" applyProtection="1">
      <alignment horizontal="center" vertical="center" wrapText="1"/>
      <protection locked="0"/>
    </xf>
    <xf numFmtId="0" fontId="27" fillId="10" borderId="4" xfId="0" applyFont="1" applyFill="1" applyBorder="1" applyAlignment="1" applyProtection="1">
      <alignment horizontal="center" vertical="center" wrapText="1"/>
      <protection locked="0"/>
    </xf>
    <xf numFmtId="0" fontId="27" fillId="10" borderId="5" xfId="0" applyFont="1" applyFill="1" applyBorder="1" applyAlignment="1" applyProtection="1">
      <alignment horizontal="center" vertical="center" wrapText="1"/>
      <protection locked="0"/>
    </xf>
    <xf numFmtId="0" fontId="27" fillId="10" borderId="8" xfId="0" applyFont="1" applyFill="1" applyBorder="1" applyAlignment="1" applyProtection="1">
      <alignment horizontal="center" vertical="center" wrapText="1"/>
      <protection locked="0"/>
    </xf>
    <xf numFmtId="0" fontId="27" fillId="10" borderId="21" xfId="0" applyNumberFormat="1" applyFont="1" applyFill="1" applyBorder="1" applyAlignment="1" applyProtection="1">
      <alignment horizontal="center" vertical="center"/>
      <protection locked="0"/>
    </xf>
    <xf numFmtId="0" fontId="27" fillId="10" borderId="7" xfId="0" applyNumberFormat="1" applyFont="1" applyFill="1" applyBorder="1" applyAlignment="1" applyProtection="1">
      <alignment horizontal="center" vertical="center"/>
      <protection locked="0"/>
    </xf>
    <xf numFmtId="0" fontId="27" fillId="10" borderId="21" xfId="0" applyFont="1" applyFill="1" applyBorder="1" applyAlignment="1" applyProtection="1">
      <alignment horizontal="center" vertical="center"/>
      <protection locked="0"/>
    </xf>
    <xf numFmtId="0" fontId="27" fillId="10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center" vertical="center"/>
    </xf>
    <xf numFmtId="57" fontId="27" fillId="0" borderId="5" xfId="0" applyNumberFormat="1" applyFont="1" applyFill="1" applyBorder="1" applyAlignment="1" applyProtection="1">
      <alignment horizontal="center" vertical="center"/>
      <protection locked="0"/>
    </xf>
    <xf numFmtId="57" fontId="27" fillId="0" borderId="21" xfId="0" applyNumberFormat="1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shrinkToFit="1"/>
    </xf>
    <xf numFmtId="0" fontId="7" fillId="8" borderId="6" xfId="0" applyFont="1" applyFill="1" applyBorder="1" applyAlignment="1">
      <alignment horizontal="center" vertical="center" shrinkToFit="1"/>
    </xf>
    <xf numFmtId="0" fontId="7" fillId="8" borderId="7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distributed" vertical="center" indent="1"/>
    </xf>
    <xf numFmtId="0" fontId="28" fillId="8" borderId="1" xfId="0" applyFont="1" applyFill="1" applyBorder="1" applyAlignment="1">
      <alignment horizontal="distributed" vertical="center" indent="1"/>
    </xf>
    <xf numFmtId="0" fontId="28" fillId="8" borderId="2" xfId="0" applyFont="1" applyFill="1" applyBorder="1" applyAlignment="1">
      <alignment horizontal="distributed" vertical="center" indent="1"/>
    </xf>
    <xf numFmtId="0" fontId="28" fillId="8" borderId="4" xfId="0" applyFont="1" applyFill="1" applyBorder="1" applyAlignment="1">
      <alignment horizontal="distributed" vertical="center" indent="1"/>
    </xf>
    <xf numFmtId="0" fontId="28" fillId="8" borderId="5" xfId="0" applyFont="1" applyFill="1" applyBorder="1" applyAlignment="1">
      <alignment horizontal="distributed" vertical="center" indent="1"/>
    </xf>
    <xf numFmtId="0" fontId="28" fillId="8" borderId="8" xfId="0" applyFont="1" applyFill="1" applyBorder="1" applyAlignment="1">
      <alignment horizontal="distributed" vertical="center" inden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57" fontId="7" fillId="8" borderId="6" xfId="0" applyNumberFormat="1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/>
    </xf>
    <xf numFmtId="0" fontId="4" fillId="8" borderId="20" xfId="0" applyFont="1" applyFill="1" applyBorder="1" applyAlignment="1">
      <alignment horizontal="center" vertical="center" textRotation="255"/>
    </xf>
    <xf numFmtId="0" fontId="4" fillId="8" borderId="25" xfId="0" applyFont="1" applyFill="1" applyBorder="1" applyAlignment="1">
      <alignment horizontal="center" vertical="center" textRotation="255"/>
    </xf>
    <xf numFmtId="0" fontId="4" fillId="8" borderId="17" xfId="0" applyFont="1" applyFill="1" applyBorder="1" applyAlignment="1">
      <alignment horizontal="center" vertical="center" textRotation="255"/>
    </xf>
    <xf numFmtId="0" fontId="3" fillId="8" borderId="21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57" fontId="7" fillId="8" borderId="11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7" fillId="8" borderId="11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3" fontId="7" fillId="8" borderId="6" xfId="0" applyNumberFormat="1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7" fillId="8" borderId="6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7" fillId="8" borderId="0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horizontal="right" vertical="center"/>
    </xf>
    <xf numFmtId="3" fontId="7" fillId="8" borderId="5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8" borderId="0" xfId="0" applyFont="1" applyFill="1" applyBorder="1" applyAlignment="1">
      <alignment horizontal="right" vertical="center"/>
    </xf>
    <xf numFmtId="0" fontId="5" fillId="8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5" fillId="8" borderId="3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left" vertical="center"/>
      <protection locked="0"/>
    </xf>
    <xf numFmtId="0" fontId="5" fillId="8" borderId="6" xfId="0" applyFont="1" applyFill="1" applyBorder="1" applyAlignment="1" applyProtection="1">
      <alignment horizontal="left" vertical="center"/>
      <protection locked="0"/>
    </xf>
    <xf numFmtId="0" fontId="5" fillId="8" borderId="7" xfId="0" applyFont="1" applyFill="1" applyBorder="1" applyAlignment="1" applyProtection="1">
      <alignment horizontal="left" vertical="center"/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0" fontId="5" fillId="8" borderId="0" xfId="0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>
      <alignment horizontal="left" vertical="center" wrapText="1"/>
    </xf>
    <xf numFmtId="0" fontId="22" fillId="8" borderId="21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Border="1" applyAlignment="1" applyProtection="1">
      <alignment horizontal="center" vertical="center"/>
      <protection locked="0"/>
    </xf>
    <xf numFmtId="0" fontId="3" fillId="8" borderId="29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left" vertical="center"/>
      <protection locked="0"/>
    </xf>
    <xf numFmtId="0" fontId="3" fillId="8" borderId="7" xfId="0" applyFont="1" applyFill="1" applyBorder="1" applyAlignment="1" applyProtection="1">
      <alignment horizontal="left" vertical="center"/>
      <protection locked="0"/>
    </xf>
    <xf numFmtId="0" fontId="3" fillId="8" borderId="21" xfId="0" applyFont="1" applyFill="1" applyBorder="1" applyAlignment="1">
      <alignment horizontal="distributed" vertical="center"/>
    </xf>
    <xf numFmtId="0" fontId="3" fillId="8" borderId="6" xfId="0" applyFont="1" applyFill="1" applyBorder="1" applyAlignment="1">
      <alignment horizontal="distributed" vertical="center"/>
    </xf>
    <xf numFmtId="0" fontId="3" fillId="8" borderId="7" xfId="0" applyFont="1" applyFill="1" applyBorder="1" applyAlignment="1">
      <alignment horizontal="distributed" vertical="center"/>
    </xf>
    <xf numFmtId="57" fontId="3" fillId="8" borderId="0" xfId="0" applyNumberFormat="1" applyFont="1" applyFill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distributed" vertical="center" indent="1"/>
    </xf>
    <xf numFmtId="0" fontId="9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distributed" vertical="center" indent="1"/>
    </xf>
    <xf numFmtId="0" fontId="9" fillId="8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1" fillId="0" borderId="0" xfId="0" applyFont="1" applyAlignment="1">
      <alignment horizontal="distributed" vertical="center" wrapText="1" indent="1"/>
    </xf>
    <xf numFmtId="0" fontId="11" fillId="0" borderId="0" xfId="0" applyFont="1" applyAlignment="1">
      <alignment horizontal="distributed" vertical="center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49" fontId="19" fillId="0" borderId="10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21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57" fontId="0" fillId="3" borderId="18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58" fontId="0" fillId="0" borderId="32" xfId="0" applyNumberFormat="1" applyBorder="1" applyAlignment="1">
      <alignment horizontal="center" vertical="center"/>
    </xf>
    <xf numFmtId="58" fontId="0" fillId="0" borderId="33" xfId="0" applyNumberFormat="1" applyBorder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58" fontId="16" fillId="0" borderId="32" xfId="0" applyNumberFormat="1" applyFont="1" applyBorder="1" applyAlignment="1">
      <alignment horizontal="center" vertical="center"/>
    </xf>
    <xf numFmtId="58" fontId="16" fillId="0" borderId="33" xfId="0" applyNumberFormat="1" applyFont="1" applyBorder="1" applyAlignment="1">
      <alignment horizontal="center" vertical="center"/>
    </xf>
    <xf numFmtId="58" fontId="16" fillId="0" borderId="34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C000"/>
        </patternFill>
      </fill>
    </dxf>
    <dxf>
      <font>
        <color auto="1"/>
      </font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39</xdr:row>
      <xdr:rowOff>85725</xdr:rowOff>
    </xdr:from>
    <xdr:to>
      <xdr:col>35</xdr:col>
      <xdr:colOff>19050</xdr:colOff>
      <xdr:row>39</xdr:row>
      <xdr:rowOff>304800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115050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28575</xdr:colOff>
      <xdr:row>5</xdr:row>
      <xdr:rowOff>133350</xdr:rowOff>
    </xdr:from>
    <xdr:to>
      <xdr:col>30</xdr:col>
      <xdr:colOff>161925</xdr:colOff>
      <xdr:row>5</xdr:row>
      <xdr:rowOff>285750</xdr:rowOff>
    </xdr:to>
    <xdr:sp macro="" textlink="">
      <xdr:nvSpPr>
        <xdr:cNvPr id="3" name="円/楕円 2"/>
        <xdr:cNvSpPr/>
      </xdr:nvSpPr>
      <xdr:spPr>
        <a:xfrm>
          <a:off x="5029200" y="1352550"/>
          <a:ext cx="495300" cy="1524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20</xdr:row>
      <xdr:rowOff>95250</xdr:rowOff>
    </xdr:from>
    <xdr:to>
      <xdr:col>9</xdr:col>
      <xdr:colOff>0</xdr:colOff>
      <xdr:row>20</xdr:row>
      <xdr:rowOff>266700</xdr:rowOff>
    </xdr:to>
    <xdr:sp macro="" textlink="">
      <xdr:nvSpPr>
        <xdr:cNvPr id="4" name="円/楕円 3"/>
        <xdr:cNvSpPr/>
      </xdr:nvSpPr>
      <xdr:spPr>
        <a:xfrm>
          <a:off x="1304925" y="4514850"/>
          <a:ext cx="2571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19</xdr:row>
      <xdr:rowOff>47625</xdr:rowOff>
    </xdr:from>
    <xdr:to>
      <xdr:col>20</xdr:col>
      <xdr:colOff>85725</xdr:colOff>
      <xdr:row>19</xdr:row>
      <xdr:rowOff>219075</xdr:rowOff>
    </xdr:to>
    <xdr:sp macro="" textlink="">
      <xdr:nvSpPr>
        <xdr:cNvPr id="5" name="円/楕円 4"/>
        <xdr:cNvSpPr/>
      </xdr:nvSpPr>
      <xdr:spPr>
        <a:xfrm>
          <a:off x="3381375" y="4210050"/>
          <a:ext cx="2571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21</xdr:row>
      <xdr:rowOff>95250</xdr:rowOff>
    </xdr:from>
    <xdr:to>
      <xdr:col>9</xdr:col>
      <xdr:colOff>19050</xdr:colOff>
      <xdr:row>21</xdr:row>
      <xdr:rowOff>266700</xdr:rowOff>
    </xdr:to>
    <xdr:sp macro="" textlink="">
      <xdr:nvSpPr>
        <xdr:cNvPr id="6" name="円/楕円 5"/>
        <xdr:cNvSpPr/>
      </xdr:nvSpPr>
      <xdr:spPr>
        <a:xfrm>
          <a:off x="1323975" y="4905375"/>
          <a:ext cx="2571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38100</xdr:colOff>
      <xdr:row>20</xdr:row>
      <xdr:rowOff>123825</xdr:rowOff>
    </xdr:from>
    <xdr:to>
      <xdr:col>39</xdr:col>
      <xdr:colOff>104775</xdr:colOff>
      <xdr:row>27</xdr:row>
      <xdr:rowOff>123825</xdr:rowOff>
    </xdr:to>
    <xdr:sp macro="" textlink="">
      <xdr:nvSpPr>
        <xdr:cNvPr id="7" name="右中かっこ 6"/>
        <xdr:cNvSpPr/>
      </xdr:nvSpPr>
      <xdr:spPr>
        <a:xfrm>
          <a:off x="6800850" y="4543425"/>
          <a:ext cx="247650" cy="1571625"/>
        </a:xfrm>
        <a:prstGeom prst="rightBrace">
          <a:avLst>
            <a:gd name="adj1" fmla="val 8333"/>
            <a:gd name="adj2" fmla="val 30000"/>
          </a:avLst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4</xdr:row>
      <xdr:rowOff>133350</xdr:rowOff>
    </xdr:from>
    <xdr:to>
      <xdr:col>30</xdr:col>
      <xdr:colOff>142875</xdr:colOff>
      <xdr:row>5</xdr:row>
      <xdr:rowOff>142875</xdr:rowOff>
    </xdr:to>
    <xdr:sp macro="" textlink="">
      <xdr:nvSpPr>
        <xdr:cNvPr id="8" name="円/楕円 7"/>
        <xdr:cNvSpPr/>
      </xdr:nvSpPr>
      <xdr:spPr>
        <a:xfrm>
          <a:off x="5010150" y="1209675"/>
          <a:ext cx="495300" cy="1524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38</xdr:row>
      <xdr:rowOff>342900</xdr:rowOff>
    </xdr:from>
    <xdr:to>
      <xdr:col>15</xdr:col>
      <xdr:colOff>152399</xdr:colOff>
      <xdr:row>40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466724" y="8582025"/>
          <a:ext cx="2333625" cy="44767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所属所受理日と決裁日は手書き</a:t>
          </a:r>
          <a:endParaRPr kumimoji="1" lang="en-US" altLang="ja-JP" sz="1000" b="1"/>
        </a:p>
        <a:p>
          <a:r>
            <a:rPr kumimoji="1" lang="ja-JP" altLang="en-US" sz="1000" b="1"/>
            <a:t>してください。（これは印刷されません）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152400</xdr:colOff>
      <xdr:row>39</xdr:row>
      <xdr:rowOff>85725</xdr:rowOff>
    </xdr:from>
    <xdr:to>
      <xdr:col>54</xdr:col>
      <xdr:colOff>19050</xdr:colOff>
      <xdr:row>39</xdr:row>
      <xdr:rowOff>304800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19</xdr:row>
      <xdr:rowOff>19049</xdr:rowOff>
    </xdr:from>
    <xdr:to>
      <xdr:col>40</xdr:col>
      <xdr:colOff>247650</xdr:colOff>
      <xdr:row>19</xdr:row>
      <xdr:rowOff>247650</xdr:rowOff>
    </xdr:to>
    <xdr:sp macro="" textlink="">
      <xdr:nvSpPr>
        <xdr:cNvPr id="3" name="円/楕円 2"/>
        <xdr:cNvSpPr/>
      </xdr:nvSpPr>
      <xdr:spPr>
        <a:xfrm>
          <a:off x="7124700" y="4181474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20</xdr:row>
      <xdr:rowOff>85725</xdr:rowOff>
    </xdr:from>
    <xdr:to>
      <xdr:col>28</xdr:col>
      <xdr:colOff>19050</xdr:colOff>
      <xdr:row>20</xdr:row>
      <xdr:rowOff>314326</xdr:rowOff>
    </xdr:to>
    <xdr:sp macro="" textlink="">
      <xdr:nvSpPr>
        <xdr:cNvPr id="4" name="円/楕円 3"/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21</xdr:row>
      <xdr:rowOff>66675</xdr:rowOff>
    </xdr:from>
    <xdr:to>
      <xdr:col>28</xdr:col>
      <xdr:colOff>19050</xdr:colOff>
      <xdr:row>21</xdr:row>
      <xdr:rowOff>295276</xdr:rowOff>
    </xdr:to>
    <xdr:sp macro="" textlink="">
      <xdr:nvSpPr>
        <xdr:cNvPr id="5" name="円/楕円 4"/>
        <xdr:cNvSpPr/>
      </xdr:nvSpPr>
      <xdr:spPr>
        <a:xfrm>
          <a:off x="4724400" y="4876800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200024</xdr:colOff>
      <xdr:row>7</xdr:row>
      <xdr:rowOff>247650</xdr:rowOff>
    </xdr:from>
    <xdr:to>
      <xdr:col>63</xdr:col>
      <xdr:colOff>142874</xdr:colOff>
      <xdr:row>9</xdr:row>
      <xdr:rowOff>9525</xdr:rowOff>
    </xdr:to>
    <xdr:sp macro="" textlink="">
      <xdr:nvSpPr>
        <xdr:cNvPr id="6" name="角丸四角形吹き出し 5"/>
        <xdr:cNvSpPr/>
      </xdr:nvSpPr>
      <xdr:spPr>
        <a:xfrm>
          <a:off x="10363199" y="2162175"/>
          <a:ext cx="2009775" cy="390525"/>
        </a:xfrm>
        <a:prstGeom prst="wedgeRoundRectCallout">
          <a:avLst>
            <a:gd name="adj1" fmla="val -61666"/>
            <a:gd name="adj2" fmla="val -41750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38099</xdr:colOff>
      <xdr:row>7</xdr:row>
      <xdr:rowOff>247650</xdr:rowOff>
    </xdr:from>
    <xdr:to>
      <xdr:col>65</xdr:col>
      <xdr:colOff>180974</xdr:colOff>
      <xdr:row>8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10401299" y="2162175"/>
          <a:ext cx="2371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0</xdr:col>
      <xdr:colOff>123825</xdr:colOff>
      <xdr:row>2</xdr:row>
      <xdr:rowOff>180975</xdr:rowOff>
    </xdr:from>
    <xdr:to>
      <xdr:col>17</xdr:col>
      <xdr:colOff>28575</xdr:colOff>
      <xdr:row>21</xdr:row>
      <xdr:rowOff>9525</xdr:rowOff>
    </xdr:to>
    <xdr:sp macro="" textlink="">
      <xdr:nvSpPr>
        <xdr:cNvPr id="8" name="角丸四角形吹き出し 7"/>
        <xdr:cNvSpPr/>
      </xdr:nvSpPr>
      <xdr:spPr>
        <a:xfrm>
          <a:off x="123825" y="657225"/>
          <a:ext cx="2981325" cy="4162425"/>
        </a:xfrm>
        <a:prstGeom prst="wedgeRoundRectCallout">
          <a:avLst>
            <a:gd name="adj1" fmla="val 63600"/>
            <a:gd name="adj2" fmla="val -8569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16</xdr:col>
      <xdr:colOff>161925</xdr:colOff>
      <xdr:row>21</xdr:row>
      <xdr:rowOff>123825</xdr:rowOff>
    </xdr:to>
    <xdr:sp macro="" textlink="">
      <xdr:nvSpPr>
        <xdr:cNvPr id="9" name="テキスト ボックス 8"/>
        <xdr:cNvSpPr txBox="1"/>
      </xdr:nvSpPr>
      <xdr:spPr>
        <a:xfrm>
          <a:off x="257175" y="819150"/>
          <a:ext cx="2800350" cy="411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育児休業手当金の全体の請求期間は、お子さんが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</a:t>
          </a:r>
          <a:r>
            <a:rPr kumimoji="1" lang="ja-JP" altLang="ja-JP" sz="1100" b="1" u="wavy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どちらか早い日付まで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ただし、パパママ育児プラス等に該当する方は、支給期間が延長されます。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　→平成○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育児休業承認期間→平成○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１歳に達する前日の方が早いので、全体の請求期間は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日から平成○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月分を請求する際は、請求期間が、平成○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20</xdr:row>
      <xdr:rowOff>19050</xdr:rowOff>
    </xdr:from>
    <xdr:to>
      <xdr:col>51</xdr:col>
      <xdr:colOff>66674</xdr:colOff>
      <xdr:row>21</xdr:row>
      <xdr:rowOff>314325</xdr:rowOff>
    </xdr:to>
    <xdr:sp macro="" textlink="">
      <xdr:nvSpPr>
        <xdr:cNvPr id="11" name="角丸四角形吹き出し 10"/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133350</xdr:colOff>
      <xdr:row>20</xdr:row>
      <xdr:rowOff>123825</xdr:rowOff>
    </xdr:from>
    <xdr:to>
      <xdr:col>50</xdr:col>
      <xdr:colOff>171450</xdr:colOff>
      <xdr:row>21</xdr:row>
      <xdr:rowOff>314325</xdr:rowOff>
    </xdr:to>
    <xdr:sp macro="" textlink="">
      <xdr:nvSpPr>
        <xdr:cNvPr id="12" name="テキスト ボックス 11"/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58</xdr:col>
      <xdr:colOff>9524</xdr:colOff>
      <xdr:row>34</xdr:row>
      <xdr:rowOff>76200</xdr:rowOff>
    </xdr:from>
    <xdr:to>
      <xdr:col>69</xdr:col>
      <xdr:colOff>28574</xdr:colOff>
      <xdr:row>36</xdr:row>
      <xdr:rowOff>142875</xdr:rowOff>
    </xdr:to>
    <xdr:sp macro="" textlink="">
      <xdr:nvSpPr>
        <xdr:cNvPr id="13" name="角丸四角形 12"/>
        <xdr:cNvSpPr/>
      </xdr:nvSpPr>
      <xdr:spPr>
        <a:xfrm>
          <a:off x="11334749" y="7620000"/>
          <a:ext cx="200977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85726</xdr:colOff>
      <xdr:row>35</xdr:row>
      <xdr:rowOff>123825</xdr:rowOff>
    </xdr:from>
    <xdr:to>
      <xdr:col>58</xdr:col>
      <xdr:colOff>0</xdr:colOff>
      <xdr:row>39</xdr:row>
      <xdr:rowOff>257175</xdr:rowOff>
    </xdr:to>
    <xdr:cxnSp macro="">
      <xdr:nvCxnSpPr>
        <xdr:cNvPr id="14" name="直線矢印コネクタ 13"/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9525</xdr:colOff>
      <xdr:row>33</xdr:row>
      <xdr:rowOff>180976</xdr:rowOff>
    </xdr:from>
    <xdr:to>
      <xdr:col>58</xdr:col>
      <xdr:colOff>0</xdr:colOff>
      <xdr:row>35</xdr:row>
      <xdr:rowOff>114300</xdr:rowOff>
    </xdr:to>
    <xdr:cxnSp macro="">
      <xdr:nvCxnSpPr>
        <xdr:cNvPr id="15" name="直線矢印コネクタ 14"/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66675</xdr:colOff>
      <xdr:row>35</xdr:row>
      <xdr:rowOff>9525</xdr:rowOff>
    </xdr:from>
    <xdr:to>
      <xdr:col>69</xdr:col>
      <xdr:colOff>161925</xdr:colOff>
      <xdr:row>36</xdr:row>
      <xdr:rowOff>104775</xdr:rowOff>
    </xdr:to>
    <xdr:sp macro="" textlink="">
      <xdr:nvSpPr>
        <xdr:cNvPr id="16" name="テキスト ボックス 15"/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152400</xdr:colOff>
      <xdr:row>39</xdr:row>
      <xdr:rowOff>85725</xdr:rowOff>
    </xdr:from>
    <xdr:to>
      <xdr:col>51</xdr:col>
      <xdr:colOff>19050</xdr:colOff>
      <xdr:row>39</xdr:row>
      <xdr:rowOff>304800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19</xdr:row>
      <xdr:rowOff>9524</xdr:rowOff>
    </xdr:from>
    <xdr:to>
      <xdr:col>37</xdr:col>
      <xdr:colOff>247650</xdr:colOff>
      <xdr:row>19</xdr:row>
      <xdr:rowOff>238125</xdr:rowOff>
    </xdr:to>
    <xdr:sp macro="" textlink="">
      <xdr:nvSpPr>
        <xdr:cNvPr id="3" name="円/楕円 2"/>
        <xdr:cNvSpPr/>
      </xdr:nvSpPr>
      <xdr:spPr>
        <a:xfrm>
          <a:off x="7124700" y="4171949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20</xdr:row>
      <xdr:rowOff>85725</xdr:rowOff>
    </xdr:from>
    <xdr:to>
      <xdr:col>25</xdr:col>
      <xdr:colOff>19050</xdr:colOff>
      <xdr:row>20</xdr:row>
      <xdr:rowOff>314326</xdr:rowOff>
    </xdr:to>
    <xdr:sp macro="" textlink="">
      <xdr:nvSpPr>
        <xdr:cNvPr id="4" name="円/楕円 3"/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142875</xdr:colOff>
      <xdr:row>21</xdr:row>
      <xdr:rowOff>57150</xdr:rowOff>
    </xdr:from>
    <xdr:to>
      <xdr:col>27</xdr:col>
      <xdr:colOff>76200</xdr:colOff>
      <xdr:row>21</xdr:row>
      <xdr:rowOff>285751</xdr:rowOff>
    </xdr:to>
    <xdr:sp macro="" textlink="">
      <xdr:nvSpPr>
        <xdr:cNvPr id="5" name="円/楕円 4"/>
        <xdr:cNvSpPr/>
      </xdr:nvSpPr>
      <xdr:spPr>
        <a:xfrm>
          <a:off x="5143500" y="486727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123825</xdr:colOff>
      <xdr:row>6</xdr:row>
      <xdr:rowOff>200026</xdr:rowOff>
    </xdr:from>
    <xdr:to>
      <xdr:col>64</xdr:col>
      <xdr:colOff>114300</xdr:colOff>
      <xdr:row>7</xdr:row>
      <xdr:rowOff>161926</xdr:rowOff>
    </xdr:to>
    <xdr:sp macro="" textlink="">
      <xdr:nvSpPr>
        <xdr:cNvPr id="6" name="角丸四角形吹き出し 5"/>
        <xdr:cNvSpPr/>
      </xdr:nvSpPr>
      <xdr:spPr>
        <a:xfrm>
          <a:off x="10287000" y="1714501"/>
          <a:ext cx="2781300" cy="361950"/>
        </a:xfrm>
        <a:prstGeom prst="wedgeRoundRectCallout">
          <a:avLst>
            <a:gd name="adj1" fmla="val -50046"/>
            <a:gd name="adj2" fmla="val 113513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85724</xdr:colOff>
      <xdr:row>6</xdr:row>
      <xdr:rowOff>200025</xdr:rowOff>
    </xdr:from>
    <xdr:to>
      <xdr:col>65</xdr:col>
      <xdr:colOff>114299</xdr:colOff>
      <xdr:row>7</xdr:row>
      <xdr:rowOff>171450</xdr:rowOff>
    </xdr:to>
    <xdr:sp macro="" textlink="">
      <xdr:nvSpPr>
        <xdr:cNvPr id="7" name="テキスト ボックス 6"/>
        <xdr:cNvSpPr txBox="1"/>
      </xdr:nvSpPr>
      <xdr:spPr>
        <a:xfrm>
          <a:off x="9886949" y="1714500"/>
          <a:ext cx="3000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変更となった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37</xdr:col>
      <xdr:colOff>28574</xdr:colOff>
      <xdr:row>20</xdr:row>
      <xdr:rowOff>19050</xdr:rowOff>
    </xdr:from>
    <xdr:to>
      <xdr:col>48</xdr:col>
      <xdr:colOff>66674</xdr:colOff>
      <xdr:row>21</xdr:row>
      <xdr:rowOff>314325</xdr:rowOff>
    </xdr:to>
    <xdr:sp macro="" textlink="">
      <xdr:nvSpPr>
        <xdr:cNvPr id="8" name="角丸四角形吹き出し 7"/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133350</xdr:colOff>
      <xdr:row>20</xdr:row>
      <xdr:rowOff>123825</xdr:rowOff>
    </xdr:from>
    <xdr:to>
      <xdr:col>47</xdr:col>
      <xdr:colOff>171450</xdr:colOff>
      <xdr:row>21</xdr:row>
      <xdr:rowOff>314325</xdr:rowOff>
    </xdr:to>
    <xdr:sp macro="" textlink="">
      <xdr:nvSpPr>
        <xdr:cNvPr id="9" name="テキスト ボックス 8"/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55</xdr:col>
      <xdr:colOff>9524</xdr:colOff>
      <xdr:row>34</xdr:row>
      <xdr:rowOff>76200</xdr:rowOff>
    </xdr:from>
    <xdr:to>
      <xdr:col>66</xdr:col>
      <xdr:colOff>85724</xdr:colOff>
      <xdr:row>36</xdr:row>
      <xdr:rowOff>142875</xdr:rowOff>
    </xdr:to>
    <xdr:sp macro="" textlink="">
      <xdr:nvSpPr>
        <xdr:cNvPr id="10" name="角丸四角形 9"/>
        <xdr:cNvSpPr/>
      </xdr:nvSpPr>
      <xdr:spPr>
        <a:xfrm>
          <a:off x="11334749" y="7620000"/>
          <a:ext cx="206692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85726</xdr:colOff>
      <xdr:row>35</xdr:row>
      <xdr:rowOff>123825</xdr:rowOff>
    </xdr:from>
    <xdr:to>
      <xdr:col>55</xdr:col>
      <xdr:colOff>0</xdr:colOff>
      <xdr:row>39</xdr:row>
      <xdr:rowOff>257175</xdr:rowOff>
    </xdr:to>
    <xdr:cxnSp macro="">
      <xdr:nvCxnSpPr>
        <xdr:cNvPr id="11" name="直線矢印コネクタ 10"/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33</xdr:row>
      <xdr:rowOff>180976</xdr:rowOff>
    </xdr:from>
    <xdr:to>
      <xdr:col>55</xdr:col>
      <xdr:colOff>0</xdr:colOff>
      <xdr:row>35</xdr:row>
      <xdr:rowOff>114300</xdr:rowOff>
    </xdr:to>
    <xdr:cxnSp macro="">
      <xdr:nvCxnSpPr>
        <xdr:cNvPr id="12" name="直線矢印コネクタ 11"/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66675</xdr:colOff>
      <xdr:row>35</xdr:row>
      <xdr:rowOff>9525</xdr:rowOff>
    </xdr:from>
    <xdr:to>
      <xdr:col>66</xdr:col>
      <xdr:colOff>161925</xdr:colOff>
      <xdr:row>36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  <xdr:twoCellAnchor>
    <xdr:from>
      <xdr:col>1</xdr:col>
      <xdr:colOff>57150</xdr:colOff>
      <xdr:row>6</xdr:row>
      <xdr:rowOff>171451</xdr:rowOff>
    </xdr:from>
    <xdr:to>
      <xdr:col>14</xdr:col>
      <xdr:colOff>133350</xdr:colOff>
      <xdr:row>20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419100" y="1685926"/>
          <a:ext cx="2428875" cy="2847974"/>
        </a:xfrm>
        <a:prstGeom prst="wedgeRoundRectCallout">
          <a:avLst>
            <a:gd name="adj1" fmla="val 63221"/>
            <a:gd name="adj2" fmla="val -18064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180974</xdr:colOff>
      <xdr:row>6</xdr:row>
      <xdr:rowOff>371474</xdr:rowOff>
    </xdr:from>
    <xdr:to>
      <xdr:col>14</xdr:col>
      <xdr:colOff>95250</xdr:colOff>
      <xdr:row>20</xdr:row>
      <xdr:rowOff>152400</xdr:rowOff>
    </xdr:to>
    <xdr:sp macro="" textlink="">
      <xdr:nvSpPr>
        <xdr:cNvPr id="15" name="テキスト ボックス 14"/>
        <xdr:cNvSpPr txBox="1"/>
      </xdr:nvSpPr>
      <xdr:spPr>
        <a:xfrm>
          <a:off x="542924" y="1885949"/>
          <a:ext cx="2266951" cy="268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歳に達した日から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8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延長理由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日までに保育所に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月からの入所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申し込みをしたが入所できなかった。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5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請求期間は平成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日から平成○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日までとなる。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76199</xdr:colOff>
      <xdr:row>23</xdr:row>
      <xdr:rowOff>28575</xdr:rowOff>
    </xdr:from>
    <xdr:to>
      <xdr:col>15</xdr:col>
      <xdr:colOff>66674</xdr:colOff>
      <xdr:row>32</xdr:row>
      <xdr:rowOff>171450</xdr:rowOff>
    </xdr:to>
    <xdr:sp macro="" textlink="">
      <xdr:nvSpPr>
        <xdr:cNvPr id="17" name="角丸四角形吹き出し 16"/>
        <xdr:cNvSpPr/>
      </xdr:nvSpPr>
      <xdr:spPr>
        <a:xfrm>
          <a:off x="438149" y="5257800"/>
          <a:ext cx="2524125" cy="1828800"/>
        </a:xfrm>
        <a:prstGeom prst="wedgeRoundRectCallout">
          <a:avLst>
            <a:gd name="adj1" fmla="val 92201"/>
            <a:gd name="adj2" fmla="val -56102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85726</xdr:colOff>
      <xdr:row>22</xdr:row>
      <xdr:rowOff>47625</xdr:rowOff>
    </xdr:from>
    <xdr:to>
      <xdr:col>24</xdr:col>
      <xdr:colOff>114301</xdr:colOff>
      <xdr:row>23</xdr:row>
      <xdr:rowOff>171450</xdr:rowOff>
    </xdr:to>
    <xdr:sp macro="" textlink="">
      <xdr:nvSpPr>
        <xdr:cNvPr id="21" name="円/楕円 20"/>
        <xdr:cNvSpPr/>
      </xdr:nvSpPr>
      <xdr:spPr>
        <a:xfrm>
          <a:off x="4724401" y="521970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23</xdr:row>
      <xdr:rowOff>142875</xdr:rowOff>
    </xdr:from>
    <xdr:to>
      <xdr:col>15</xdr:col>
      <xdr:colOff>19050</xdr:colOff>
      <xdr:row>32</xdr:row>
      <xdr:rowOff>247650</xdr:rowOff>
    </xdr:to>
    <xdr:sp macro="" textlink="">
      <xdr:nvSpPr>
        <xdr:cNvPr id="22" name="テキスト ボックス 21"/>
        <xdr:cNvSpPr txBox="1"/>
      </xdr:nvSpPr>
      <xdr:spPr>
        <a:xfrm>
          <a:off x="514350" y="5372100"/>
          <a:ext cx="24003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歳に達した日以後の支給期間延長が「有」の場合は、該当する事由の番号を○で囲んでください。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en-US" altLang="ja-JP" sz="1100"/>
            <a:t>※</a:t>
          </a:r>
          <a:r>
            <a:rPr kumimoji="1" lang="ja-JP" altLang="en-US" sz="1100"/>
            <a:t>最長</a:t>
          </a:r>
          <a:r>
            <a:rPr kumimoji="1" lang="en-US" altLang="ja-JP" sz="1100"/>
            <a:t>1</a:t>
          </a:r>
          <a:r>
            <a:rPr kumimoji="1" lang="ja-JP" altLang="en-US" sz="1100"/>
            <a:t>歳</a:t>
          </a:r>
          <a:r>
            <a:rPr kumimoji="1" lang="en-US" altLang="ja-JP" sz="1100"/>
            <a:t>6</a:t>
          </a:r>
          <a:r>
            <a:rPr kumimoji="1" lang="ja-JP" altLang="en-US" sz="1100"/>
            <a:t>か月までの請求期間となりますが、途中で延長事由が消滅した場合は、その事由が発生していた期間のみ請求可能です。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/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21</xdr:row>
      <xdr:rowOff>180975</xdr:rowOff>
    </xdr:from>
    <xdr:to>
      <xdr:col>23</xdr:col>
      <xdr:colOff>180976</xdr:colOff>
      <xdr:row>25</xdr:row>
      <xdr:rowOff>57150</xdr:rowOff>
    </xdr:to>
    <xdr:sp macro="" textlink="">
      <xdr:nvSpPr>
        <xdr:cNvPr id="2" name="角丸四角形吹き出し 1"/>
        <xdr:cNvSpPr/>
      </xdr:nvSpPr>
      <xdr:spPr>
        <a:xfrm>
          <a:off x="6819900" y="5943600"/>
          <a:ext cx="3838576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22</xdr:row>
      <xdr:rowOff>66676</xdr:rowOff>
    </xdr:from>
    <xdr:to>
      <xdr:col>23</xdr:col>
      <xdr:colOff>171450</xdr:colOff>
      <xdr:row>25</xdr:row>
      <xdr:rowOff>76201</xdr:rowOff>
    </xdr:to>
    <xdr:sp macro="" textlink="">
      <xdr:nvSpPr>
        <xdr:cNvPr id="3" name="テキスト ボックス 2"/>
        <xdr:cNvSpPr txBox="1"/>
      </xdr:nvSpPr>
      <xdr:spPr>
        <a:xfrm>
          <a:off x="69246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平成２８年３月の請求日数及び請求金額は、</a:t>
          </a:r>
          <a:endParaRPr kumimoji="1" lang="en-US" altLang="ja-JP" sz="1050" b="1"/>
        </a:p>
        <a:p>
          <a:r>
            <a:rPr kumimoji="1" lang="ja-JP" altLang="en-US" sz="1050" b="1"/>
            <a:t>６７％支給分　請求日数　２０日　請求金額　２３１，４００円</a:t>
          </a:r>
          <a:endParaRPr kumimoji="1" lang="en-US" altLang="ja-JP" sz="1050" b="1"/>
        </a:p>
        <a:p>
          <a:r>
            <a:rPr kumimoji="1" lang="ja-JP" altLang="en-US" sz="1050" b="1"/>
            <a:t>５０％支給分　請求日数　　３日　請求金額　　２５，９０５円</a:t>
          </a:r>
          <a:endParaRPr kumimoji="1" lang="en-US" altLang="ja-JP" sz="1050" b="1"/>
        </a:p>
        <a:p>
          <a:r>
            <a:rPr kumimoji="1" lang="ja-JP" altLang="en-US" sz="1050" b="1"/>
            <a:t>合計　２３日　２８８，７０４円になります。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/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平成２８年３月２９日で１８０日を越えるため、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/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Ｈ</a:t>
          </a:r>
          <a:r>
            <a:rPr kumimoji="1" lang="en-US" altLang="ja-JP" sz="1050" b="1"/>
            <a:t>27.10.1</a:t>
          </a:r>
          <a:r>
            <a:rPr kumimoji="1" lang="ja-JP" altLang="en-US" sz="1050" b="1"/>
            <a:t>と入力すると自動的に平成２７年１０月１日の表示形式に変わります。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" sqref="B1"/>
    </sheetView>
  </sheetViews>
  <sheetFormatPr defaultRowHeight="21.75" customHeight="1"/>
  <cols>
    <col min="2" max="2" width="13.25" customWidth="1"/>
  </cols>
  <sheetData>
    <row r="1" spans="1:3" ht="21.75" customHeight="1">
      <c r="A1">
        <v>1</v>
      </c>
      <c r="B1" t="s">
        <v>143</v>
      </c>
      <c r="C1" t="s">
        <v>142</v>
      </c>
    </row>
    <row r="2" spans="1:3" ht="21.75" customHeight="1">
      <c r="A2">
        <v>2</v>
      </c>
      <c r="B2" t="s">
        <v>140</v>
      </c>
      <c r="C2" t="s">
        <v>144</v>
      </c>
    </row>
    <row r="3" spans="1:3" ht="21.75" customHeight="1">
      <c r="A3">
        <v>3</v>
      </c>
      <c r="B3" t="s">
        <v>140</v>
      </c>
      <c r="C3" t="s">
        <v>141</v>
      </c>
    </row>
    <row r="4" spans="1:3" ht="21.75" customHeight="1">
      <c r="A4">
        <v>4</v>
      </c>
      <c r="B4" t="s">
        <v>146</v>
      </c>
      <c r="C4" t="s">
        <v>147</v>
      </c>
    </row>
    <row r="6" spans="1:3" ht="21.75" customHeight="1">
      <c r="B6" t="s">
        <v>136</v>
      </c>
    </row>
    <row r="7" spans="1:3" ht="21.75" customHeight="1">
      <c r="B7" t="s">
        <v>137</v>
      </c>
    </row>
    <row r="8" spans="1:3" ht="21.75" customHeight="1">
      <c r="B8" t="s">
        <v>138</v>
      </c>
    </row>
    <row r="9" spans="1:3" ht="21.75" customHeight="1">
      <c r="B9" t="s">
        <v>145</v>
      </c>
    </row>
    <row r="10" spans="1:3" ht="21.75" customHeight="1">
      <c r="B10" t="s">
        <v>148</v>
      </c>
    </row>
    <row r="12" spans="1:3" ht="21.75" customHeight="1">
      <c r="B12" t="s">
        <v>177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1048576"/>
  <sheetViews>
    <sheetView zoomScaleNormal="100" zoomScaleSheetLayoutView="100" workbookViewId="0">
      <selection activeCell="K8" sqref="K8:L8"/>
    </sheetView>
  </sheetViews>
  <sheetFormatPr defaultColWidth="2.375" defaultRowHeight="34.5" customHeight="1"/>
  <cols>
    <col min="1" max="7" width="2.25" style="1" customWidth="1"/>
    <col min="8" max="13" width="2.375" style="1" customWidth="1"/>
    <col min="14" max="30" width="2.375" style="1"/>
    <col min="31" max="37" width="2.625" style="1" customWidth="1"/>
    <col min="38" max="70" width="2.375" style="1"/>
    <col min="71" max="73" width="2.375" style="1" customWidth="1"/>
    <col min="74" max="83" width="2.375" style="1"/>
    <col min="84" max="84" width="2.375" style="1" customWidth="1"/>
    <col min="85" max="16384" width="2.375" style="1"/>
  </cols>
  <sheetData>
    <row r="1" spans="1:90" ht="18.75" customHeight="1">
      <c r="A1" s="92"/>
      <c r="B1" s="92"/>
      <c r="C1" s="245" t="s">
        <v>6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92"/>
      <c r="Z1" s="92"/>
      <c r="AA1" s="246" t="s">
        <v>31</v>
      </c>
      <c r="AB1" s="241" t="s">
        <v>73</v>
      </c>
      <c r="AC1" s="242"/>
      <c r="AD1" s="242"/>
      <c r="AE1" s="243"/>
      <c r="AF1" s="249" t="s">
        <v>17</v>
      </c>
      <c r="AG1" s="250"/>
      <c r="AH1" s="250"/>
      <c r="AI1" s="250"/>
      <c r="AJ1" s="250"/>
      <c r="AK1" s="251"/>
    </row>
    <row r="2" spans="1:90" ht="18.75" customHeight="1">
      <c r="A2" s="92"/>
      <c r="B2" s="92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93"/>
      <c r="Z2" s="94"/>
      <c r="AA2" s="247"/>
      <c r="AB2" s="241" t="s">
        <v>74</v>
      </c>
      <c r="AC2" s="242"/>
      <c r="AD2" s="242"/>
      <c r="AE2" s="243"/>
      <c r="AF2" s="249" t="s">
        <v>17</v>
      </c>
      <c r="AG2" s="250"/>
      <c r="AH2" s="250"/>
      <c r="AI2" s="250"/>
      <c r="AJ2" s="250"/>
      <c r="AK2" s="251"/>
    </row>
    <row r="3" spans="1:90" ht="18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5"/>
      <c r="Z3" s="95"/>
      <c r="AA3" s="248"/>
      <c r="AB3" s="241" t="s">
        <v>72</v>
      </c>
      <c r="AC3" s="242"/>
      <c r="AD3" s="242"/>
      <c r="AE3" s="243"/>
      <c r="AF3" s="249" t="s">
        <v>17</v>
      </c>
      <c r="AG3" s="250"/>
      <c r="AH3" s="250"/>
      <c r="AI3" s="250"/>
      <c r="AJ3" s="250"/>
      <c r="AK3" s="251"/>
    </row>
    <row r="4" spans="1:90" ht="28.5" customHeight="1">
      <c r="A4" s="216" t="s">
        <v>96</v>
      </c>
      <c r="B4" s="217"/>
      <c r="C4" s="217"/>
      <c r="D4" s="217"/>
      <c r="E4" s="217"/>
      <c r="F4" s="217"/>
      <c r="G4" s="218"/>
      <c r="H4" s="219" t="str">
        <f>データ!C7</f>
        <v>○○小</v>
      </c>
      <c r="I4" s="220"/>
      <c r="J4" s="220"/>
      <c r="K4" s="220"/>
      <c r="L4" s="220"/>
      <c r="M4" s="221"/>
      <c r="N4" s="222" t="s">
        <v>7</v>
      </c>
      <c r="O4" s="223"/>
      <c r="P4" s="223"/>
      <c r="Q4" s="223"/>
      <c r="R4" s="224"/>
      <c r="S4" s="225" t="str">
        <f>データ!C9</f>
        <v>名取　花子</v>
      </c>
      <c r="T4" s="225"/>
      <c r="U4" s="225"/>
      <c r="V4" s="225"/>
      <c r="W4" s="225"/>
      <c r="X4" s="225"/>
      <c r="Y4" s="225"/>
      <c r="Z4" s="225"/>
      <c r="AA4" s="225"/>
      <c r="AB4" s="226"/>
      <c r="AC4" s="222" t="s">
        <v>95</v>
      </c>
      <c r="AD4" s="223"/>
      <c r="AE4" s="223"/>
      <c r="AF4" s="223"/>
      <c r="AG4" s="223"/>
      <c r="AH4" s="223"/>
      <c r="AI4" s="223"/>
      <c r="AJ4" s="223"/>
      <c r="AK4" s="224"/>
    </row>
    <row r="5" spans="1:90" ht="11.25" customHeight="1">
      <c r="A5" s="216" t="s">
        <v>27</v>
      </c>
      <c r="B5" s="217"/>
      <c r="C5" s="217"/>
      <c r="D5" s="217"/>
      <c r="E5" s="217"/>
      <c r="F5" s="217"/>
      <c r="G5" s="218"/>
      <c r="H5" s="227">
        <f>データ!C8</f>
        <v>123456</v>
      </c>
      <c r="I5" s="228"/>
      <c r="J5" s="228"/>
      <c r="K5" s="228"/>
      <c r="L5" s="228"/>
      <c r="M5" s="229"/>
      <c r="N5" s="233" t="s">
        <v>23</v>
      </c>
      <c r="O5" s="234"/>
      <c r="P5" s="234"/>
      <c r="Q5" s="234"/>
      <c r="R5" s="235"/>
      <c r="S5" s="239" t="str">
        <f>データ!K10</f>
        <v>3</v>
      </c>
      <c r="T5" s="239" t="str">
        <f>データ!L10</f>
        <v>6</v>
      </c>
      <c r="U5" s="239" t="str">
        <f>データ!M10</f>
        <v>2</v>
      </c>
      <c r="V5" s="239" t="str">
        <f>データ!N10</f>
        <v>0</v>
      </c>
      <c r="W5" s="239" t="str">
        <f>データ!O10</f>
        <v>1</v>
      </c>
      <c r="X5" s="239" t="str">
        <f>データ!P10</f>
        <v>0</v>
      </c>
      <c r="Y5" s="239" t="str">
        <f>データ!Q10</f>
        <v>1</v>
      </c>
      <c r="Z5" s="239" t="str">
        <f>データ!R10</f>
        <v>0</v>
      </c>
      <c r="AA5" s="239" t="str">
        <f>データ!S10</f>
        <v>5</v>
      </c>
      <c r="AB5" s="239" t="str">
        <f>データ!T10</f>
        <v>3</v>
      </c>
      <c r="AC5" s="254" t="s">
        <v>64</v>
      </c>
      <c r="AD5" s="255"/>
      <c r="AE5" s="256"/>
      <c r="AF5" s="257" t="s">
        <v>20</v>
      </c>
      <c r="AG5" s="257"/>
      <c r="AH5" s="257" t="s">
        <v>21</v>
      </c>
      <c r="AI5" s="257"/>
      <c r="AJ5" s="257" t="s">
        <v>0</v>
      </c>
      <c r="AK5" s="257"/>
    </row>
    <row r="6" spans="1:90" ht="23.25" customHeight="1">
      <c r="A6" s="216"/>
      <c r="B6" s="217"/>
      <c r="C6" s="217"/>
      <c r="D6" s="217"/>
      <c r="E6" s="217"/>
      <c r="F6" s="217"/>
      <c r="G6" s="218"/>
      <c r="H6" s="230"/>
      <c r="I6" s="231"/>
      <c r="J6" s="231"/>
      <c r="K6" s="231"/>
      <c r="L6" s="231"/>
      <c r="M6" s="232"/>
      <c r="N6" s="236"/>
      <c r="O6" s="237"/>
      <c r="P6" s="237"/>
      <c r="Q6" s="237"/>
      <c r="R6" s="238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58" t="s">
        <v>63</v>
      </c>
      <c r="AD6" s="259"/>
      <c r="AE6" s="260"/>
      <c r="AF6" s="120" t="str">
        <f>データ!L10</f>
        <v>6</v>
      </c>
      <c r="AG6" s="120" t="str">
        <f>データ!M10</f>
        <v>2</v>
      </c>
      <c r="AH6" s="120" t="str">
        <f>データ!N10</f>
        <v>0</v>
      </c>
      <c r="AI6" s="120" t="str">
        <f>データ!O10</f>
        <v>1</v>
      </c>
      <c r="AJ6" s="120" t="str">
        <f>データ!P10</f>
        <v>0</v>
      </c>
      <c r="AK6" s="190" t="str">
        <f>データ!Q10</f>
        <v>1</v>
      </c>
      <c r="AN6" s="1" t="s">
        <v>175</v>
      </c>
    </row>
    <row r="7" spans="1:90" ht="31.5" customHeight="1" thickBot="1">
      <c r="A7" s="241" t="s">
        <v>9</v>
      </c>
      <c r="B7" s="242"/>
      <c r="C7" s="242"/>
      <c r="D7" s="242"/>
      <c r="E7" s="242"/>
      <c r="F7" s="242"/>
      <c r="G7" s="243"/>
      <c r="H7" s="225" t="str">
        <f>データ!C12</f>
        <v>名取　太陽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2" t="s">
        <v>10</v>
      </c>
      <c r="T7" s="223"/>
      <c r="U7" s="223"/>
      <c r="V7" s="224"/>
      <c r="W7" s="92"/>
      <c r="X7" s="223" t="s">
        <v>19</v>
      </c>
      <c r="Y7" s="223"/>
      <c r="Z7" s="244" t="str">
        <f>データ!K13</f>
        <v>29</v>
      </c>
      <c r="AA7" s="225"/>
      <c r="AB7" s="96" t="s">
        <v>20</v>
      </c>
      <c r="AC7" s="96"/>
      <c r="AD7" s="244" t="str">
        <f>データ!L13</f>
        <v>8</v>
      </c>
      <c r="AE7" s="225"/>
      <c r="AF7" s="96" t="s">
        <v>21</v>
      </c>
      <c r="AG7" s="244" t="str">
        <f>データ!M13</f>
        <v>2</v>
      </c>
      <c r="AH7" s="225"/>
      <c r="AI7" s="96" t="s">
        <v>0</v>
      </c>
      <c r="AJ7" s="92"/>
      <c r="AK7" s="97"/>
    </row>
    <row r="8" spans="1:90" ht="24.75" customHeight="1" thickTop="1">
      <c r="A8" s="233" t="s">
        <v>26</v>
      </c>
      <c r="B8" s="234"/>
      <c r="C8" s="234"/>
      <c r="D8" s="234"/>
      <c r="E8" s="234"/>
      <c r="F8" s="234"/>
      <c r="G8" s="235"/>
      <c r="H8" s="98"/>
      <c r="I8" s="263" t="s">
        <v>19</v>
      </c>
      <c r="J8" s="263"/>
      <c r="K8" s="252" t="str">
        <f>データ!K14</f>
        <v>29</v>
      </c>
      <c r="L8" s="264"/>
      <c r="M8" s="98" t="s">
        <v>20</v>
      </c>
      <c r="N8" s="253" t="str">
        <f>データ!L14</f>
        <v>9</v>
      </c>
      <c r="O8" s="253"/>
      <c r="P8" s="98" t="s">
        <v>21</v>
      </c>
      <c r="Q8" s="253" t="str">
        <f>データ!M14</f>
        <v>28</v>
      </c>
      <c r="R8" s="253"/>
      <c r="S8" s="98" t="s">
        <v>0</v>
      </c>
      <c r="T8" s="263" t="s">
        <v>22</v>
      </c>
      <c r="U8" s="263"/>
      <c r="V8" s="263"/>
      <c r="W8" s="263"/>
      <c r="X8" s="263" t="s">
        <v>19</v>
      </c>
      <c r="Y8" s="263"/>
      <c r="Z8" s="252" t="str">
        <f>データ!O14</f>
        <v>31</v>
      </c>
      <c r="AA8" s="253"/>
      <c r="AB8" s="98" t="s">
        <v>20</v>
      </c>
      <c r="AC8" s="98"/>
      <c r="AD8" s="253" t="str">
        <f>データ!P14</f>
        <v>3</v>
      </c>
      <c r="AE8" s="253"/>
      <c r="AF8" s="98" t="s">
        <v>21</v>
      </c>
      <c r="AG8" s="253" t="str">
        <f>データ!Q14</f>
        <v>31</v>
      </c>
      <c r="AH8" s="253"/>
      <c r="AI8" s="98" t="s">
        <v>0</v>
      </c>
      <c r="AJ8" s="98" t="s">
        <v>24</v>
      </c>
      <c r="AK8" s="99"/>
      <c r="AM8" s="144"/>
      <c r="AN8" s="189" t="s">
        <v>166</v>
      </c>
      <c r="AO8" s="189"/>
      <c r="AP8" s="189"/>
      <c r="AQ8" s="189"/>
      <c r="AR8" s="189"/>
      <c r="AS8" s="189"/>
      <c r="AT8" s="189"/>
      <c r="AU8" s="145"/>
      <c r="AV8" s="145"/>
      <c r="AW8" s="145"/>
      <c r="AX8" s="145"/>
      <c r="AY8" s="145"/>
      <c r="AZ8" s="145"/>
      <c r="BA8" s="145"/>
      <c r="BB8" s="145"/>
      <c r="BC8" s="145"/>
      <c r="BD8" s="146"/>
    </row>
    <row r="9" spans="1:90" ht="24.75" customHeight="1">
      <c r="A9" s="236" t="s">
        <v>45</v>
      </c>
      <c r="B9" s="237"/>
      <c r="C9" s="237"/>
      <c r="D9" s="237"/>
      <c r="E9" s="237"/>
      <c r="F9" s="237"/>
      <c r="G9" s="238"/>
      <c r="H9" s="100"/>
      <c r="I9" s="261" t="s">
        <v>19</v>
      </c>
      <c r="J9" s="261"/>
      <c r="K9" s="262" t="str">
        <f>IF(データ!K15="","",データ!K15)</f>
        <v/>
      </c>
      <c r="L9" s="262"/>
      <c r="M9" s="100" t="s">
        <v>20</v>
      </c>
      <c r="N9" s="262" t="str">
        <f>IF(データ!L15="","",データ!L15)</f>
        <v/>
      </c>
      <c r="O9" s="262"/>
      <c r="P9" s="100" t="s">
        <v>21</v>
      </c>
      <c r="Q9" s="262" t="str">
        <f>IF(データ!M15="","",データ!M15)</f>
        <v/>
      </c>
      <c r="R9" s="262"/>
      <c r="S9" s="100" t="s">
        <v>0</v>
      </c>
      <c r="T9" s="261" t="s">
        <v>22</v>
      </c>
      <c r="U9" s="261"/>
      <c r="V9" s="261"/>
      <c r="W9" s="261"/>
      <c r="X9" s="261" t="s">
        <v>19</v>
      </c>
      <c r="Y9" s="261"/>
      <c r="Z9" s="262" t="str">
        <f>IF(データ!O15="","",データ!O15)</f>
        <v/>
      </c>
      <c r="AA9" s="262"/>
      <c r="AB9" s="100" t="s">
        <v>20</v>
      </c>
      <c r="AC9" s="100"/>
      <c r="AD9" s="262" t="str">
        <f>IF(データ!P15="","",データ!P15)</f>
        <v/>
      </c>
      <c r="AE9" s="262"/>
      <c r="AF9" s="101" t="s">
        <v>21</v>
      </c>
      <c r="AG9" s="262" t="str">
        <f>IF(データ!Q15="","",データ!Q15)</f>
        <v/>
      </c>
      <c r="AH9" s="262"/>
      <c r="AI9" s="101" t="s">
        <v>0</v>
      </c>
      <c r="AJ9" s="101" t="s">
        <v>24</v>
      </c>
      <c r="AK9" s="102"/>
      <c r="AM9" s="147"/>
      <c r="AN9" s="5" t="s">
        <v>156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148"/>
      <c r="BT9" s="172"/>
      <c r="BU9" s="172"/>
      <c r="BV9" s="172"/>
    </row>
    <row r="10" spans="1:90" ht="24.75" customHeight="1">
      <c r="A10" s="270" t="s">
        <v>46</v>
      </c>
      <c r="B10" s="271"/>
      <c r="C10" s="271"/>
      <c r="D10" s="271"/>
      <c r="E10" s="271"/>
      <c r="F10" s="271"/>
      <c r="G10" s="271"/>
      <c r="H10" s="222" t="s">
        <v>19</v>
      </c>
      <c r="I10" s="223"/>
      <c r="J10" s="244" t="str">
        <f>データ!K30</f>
        <v>30</v>
      </c>
      <c r="K10" s="269"/>
      <c r="L10" s="96" t="s">
        <v>20</v>
      </c>
      <c r="M10" s="225" t="str">
        <f>データ!L30</f>
        <v>1</v>
      </c>
      <c r="N10" s="225"/>
      <c r="O10" s="96" t="s">
        <v>21</v>
      </c>
      <c r="P10" s="225" t="str">
        <f>データ!M30</f>
        <v>1</v>
      </c>
      <c r="Q10" s="225"/>
      <c r="R10" s="96" t="s">
        <v>37</v>
      </c>
      <c r="S10" s="96" t="s">
        <v>22</v>
      </c>
      <c r="T10" s="223" t="s">
        <v>19</v>
      </c>
      <c r="U10" s="223"/>
      <c r="V10" s="244" t="str">
        <f>データ!O30</f>
        <v>30</v>
      </c>
      <c r="W10" s="269"/>
      <c r="X10" s="96" t="s">
        <v>20</v>
      </c>
      <c r="Y10" s="225" t="str">
        <f>データ!P30</f>
        <v>1</v>
      </c>
      <c r="Z10" s="225"/>
      <c r="AA10" s="96" t="s">
        <v>21</v>
      </c>
      <c r="AB10" s="225" t="str">
        <f>データ!Q30</f>
        <v>31</v>
      </c>
      <c r="AC10" s="225"/>
      <c r="AD10" s="97" t="s">
        <v>37</v>
      </c>
      <c r="AE10" s="121">
        <f>AE12</f>
        <v>43101</v>
      </c>
      <c r="AF10" s="121">
        <f t="shared" ref="AF10:AK10" si="0">AF12</f>
        <v>43102</v>
      </c>
      <c r="AG10" s="121">
        <f t="shared" si="0"/>
        <v>43103</v>
      </c>
      <c r="AH10" s="121">
        <f t="shared" si="0"/>
        <v>43104</v>
      </c>
      <c r="AI10" s="121">
        <f t="shared" si="0"/>
        <v>43105</v>
      </c>
      <c r="AJ10" s="121">
        <f t="shared" si="0"/>
        <v>43106</v>
      </c>
      <c r="AK10" s="122">
        <f t="shared" si="0"/>
        <v>43107</v>
      </c>
      <c r="AM10" s="147"/>
      <c r="AN10" s="5"/>
      <c r="AO10" s="209" t="s">
        <v>155</v>
      </c>
      <c r="AP10" s="209"/>
      <c r="AQ10" s="209"/>
      <c r="AR10" s="204">
        <v>30</v>
      </c>
      <c r="AS10" s="205"/>
      <c r="AT10" s="208" t="s">
        <v>154</v>
      </c>
      <c r="AU10" s="208"/>
      <c r="AV10" s="206">
        <v>1</v>
      </c>
      <c r="AW10" s="207"/>
      <c r="AX10" s="210" t="s">
        <v>157</v>
      </c>
      <c r="AY10" s="210"/>
      <c r="AZ10" s="210"/>
      <c r="BA10" s="178"/>
      <c r="BB10" s="178"/>
      <c r="BC10" s="178"/>
      <c r="BD10" s="148"/>
      <c r="BS10" s="173"/>
      <c r="BT10" s="173"/>
    </row>
    <row r="11" spans="1:90" ht="24.75" customHeight="1">
      <c r="A11" s="265" t="s">
        <v>44</v>
      </c>
      <c r="B11" s="265"/>
      <c r="C11" s="265"/>
      <c r="D11" s="265"/>
      <c r="E11" s="265"/>
      <c r="F11" s="265"/>
      <c r="G11" s="265"/>
      <c r="H11" s="92"/>
      <c r="I11" s="92"/>
      <c r="J11" s="223" t="s">
        <v>60</v>
      </c>
      <c r="K11" s="223"/>
      <c r="L11" s="92"/>
      <c r="M11" s="96" t="s">
        <v>61</v>
      </c>
      <c r="N11" s="225">
        <f>データ!C16</f>
        <v>16</v>
      </c>
      <c r="O11" s="225"/>
      <c r="P11" s="96" t="s">
        <v>16</v>
      </c>
      <c r="Q11" s="96"/>
      <c r="R11" s="250" t="s">
        <v>62</v>
      </c>
      <c r="S11" s="250"/>
      <c r="T11" s="250"/>
      <c r="U11" s="250"/>
      <c r="V11" s="250"/>
      <c r="W11" s="266">
        <f>データ!C17</f>
        <v>260000</v>
      </c>
      <c r="X11" s="266"/>
      <c r="Y11" s="266"/>
      <c r="Z11" s="266"/>
      <c r="AA11" s="266"/>
      <c r="AB11" s="266"/>
      <c r="AC11" s="267" t="s">
        <v>65</v>
      </c>
      <c r="AD11" s="268"/>
      <c r="AE11" s="103" t="s">
        <v>70</v>
      </c>
      <c r="AF11" s="103" t="s">
        <v>70</v>
      </c>
      <c r="AG11" s="103" t="s">
        <v>70</v>
      </c>
      <c r="AH11" s="103" t="s">
        <v>70</v>
      </c>
      <c r="AI11" s="103" t="s">
        <v>70</v>
      </c>
      <c r="AJ11" s="103" t="s">
        <v>70</v>
      </c>
      <c r="AK11" s="103" t="s">
        <v>70</v>
      </c>
      <c r="AM11" s="147"/>
      <c r="AN11" s="193" t="s">
        <v>162</v>
      </c>
      <c r="AO11" s="193"/>
      <c r="AP11" s="193"/>
      <c r="AQ11" s="193"/>
      <c r="AR11" s="193"/>
      <c r="AS11" s="193"/>
      <c r="AT11" s="193"/>
      <c r="AU11" s="193"/>
      <c r="AV11" s="193"/>
      <c r="AW11" s="194"/>
      <c r="AX11" s="211">
        <f>WORKDAY(データ!E30,1)</f>
        <v>43132</v>
      </c>
      <c r="AY11" s="212"/>
      <c r="AZ11" s="212"/>
      <c r="BA11" s="212"/>
      <c r="BB11" s="212"/>
      <c r="BC11" s="213"/>
      <c r="BD11" s="148"/>
      <c r="BS11" s="173"/>
      <c r="BT11" s="173"/>
      <c r="BV11" s="172"/>
      <c r="BW11" s="172"/>
      <c r="BX11" s="172"/>
      <c r="BY11" s="172"/>
      <c r="CA11" s="172"/>
      <c r="CB11" s="172"/>
      <c r="CC11" s="172"/>
      <c r="CD11" s="172"/>
      <c r="CI11" s="172"/>
      <c r="CJ11" s="172"/>
      <c r="CK11" s="172"/>
      <c r="CL11" s="172"/>
    </row>
    <row r="12" spans="1:90" ht="9.75" customHeight="1">
      <c r="A12" s="233" t="s">
        <v>47</v>
      </c>
      <c r="B12" s="234"/>
      <c r="C12" s="234"/>
      <c r="D12" s="234"/>
      <c r="E12" s="234"/>
      <c r="F12" s="234"/>
      <c r="G12" s="235"/>
      <c r="H12" s="275">
        <f>データ!K33</f>
        <v>23</v>
      </c>
      <c r="I12" s="275"/>
      <c r="J12" s="275"/>
      <c r="K12" s="275"/>
      <c r="L12" s="275"/>
      <c r="M12" s="278" t="s">
        <v>53</v>
      </c>
      <c r="N12" s="279"/>
      <c r="O12" s="233" t="s">
        <v>48</v>
      </c>
      <c r="P12" s="234"/>
      <c r="Q12" s="234"/>
      <c r="R12" s="234"/>
      <c r="S12" s="234"/>
      <c r="T12" s="234"/>
      <c r="U12" s="235"/>
      <c r="V12" s="283">
        <f>IF(H12="","",データ!Q33)</f>
        <v>182137</v>
      </c>
      <c r="W12" s="283"/>
      <c r="X12" s="283"/>
      <c r="Y12" s="283"/>
      <c r="Z12" s="283"/>
      <c r="AA12" s="283"/>
      <c r="AB12" s="283"/>
      <c r="AC12" s="286" t="s">
        <v>65</v>
      </c>
      <c r="AD12" s="287"/>
      <c r="AE12" s="214">
        <f>DATE($J$10+88,$M$10,1)</f>
        <v>43101</v>
      </c>
      <c r="AF12" s="214">
        <f>DATE($J$10+88,$M$10,2)</f>
        <v>43102</v>
      </c>
      <c r="AG12" s="214">
        <f>DATE($J$10+88,$M$10,3)</f>
        <v>43103</v>
      </c>
      <c r="AH12" s="214">
        <f>DATE($J$10+88,$M$10,4)</f>
        <v>43104</v>
      </c>
      <c r="AI12" s="214">
        <f>DATE($J$10+88,$M$10,5)</f>
        <v>43105</v>
      </c>
      <c r="AJ12" s="214">
        <f>DATE($J$10+88,$M$10,6)</f>
        <v>43106</v>
      </c>
      <c r="AK12" s="214">
        <f>DATE($J$10+88,$M$10,7)</f>
        <v>43107</v>
      </c>
      <c r="AL12" s="123"/>
      <c r="AM12" s="149"/>
      <c r="AN12" s="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150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73"/>
      <c r="BV12" s="172"/>
      <c r="BW12" s="172"/>
      <c r="BX12" s="172"/>
      <c r="BY12" s="172"/>
      <c r="CA12" s="172"/>
      <c r="CB12" s="172"/>
      <c r="CC12" s="172"/>
      <c r="CD12" s="172"/>
      <c r="CI12" s="172"/>
      <c r="CJ12" s="172"/>
      <c r="CK12" s="172"/>
      <c r="CL12" s="172"/>
    </row>
    <row r="13" spans="1:90" ht="9.75" customHeight="1">
      <c r="A13" s="272"/>
      <c r="B13" s="273"/>
      <c r="C13" s="273"/>
      <c r="D13" s="273"/>
      <c r="E13" s="273"/>
      <c r="F13" s="273"/>
      <c r="G13" s="274"/>
      <c r="H13" s="276"/>
      <c r="I13" s="276"/>
      <c r="J13" s="276"/>
      <c r="K13" s="276"/>
      <c r="L13" s="276"/>
      <c r="M13" s="261"/>
      <c r="N13" s="280"/>
      <c r="O13" s="272"/>
      <c r="P13" s="273"/>
      <c r="Q13" s="273"/>
      <c r="R13" s="273"/>
      <c r="S13" s="273"/>
      <c r="T13" s="273"/>
      <c r="U13" s="274"/>
      <c r="V13" s="284"/>
      <c r="W13" s="284"/>
      <c r="X13" s="284"/>
      <c r="Y13" s="284"/>
      <c r="Z13" s="284"/>
      <c r="AA13" s="284"/>
      <c r="AB13" s="284"/>
      <c r="AC13" s="288"/>
      <c r="AD13" s="289"/>
      <c r="AE13" s="215"/>
      <c r="AF13" s="215"/>
      <c r="AG13" s="215"/>
      <c r="AH13" s="215"/>
      <c r="AI13" s="215"/>
      <c r="AJ13" s="215"/>
      <c r="AK13" s="215"/>
      <c r="AL13" s="123"/>
      <c r="AM13" s="149"/>
      <c r="AN13" s="192" t="s">
        <v>163</v>
      </c>
      <c r="AO13" s="192"/>
      <c r="AP13" s="192"/>
      <c r="AQ13" s="192"/>
      <c r="AR13" s="192"/>
      <c r="AS13" s="192"/>
      <c r="AT13" s="192"/>
      <c r="AU13" s="192"/>
      <c r="AV13" s="192"/>
      <c r="AW13" s="192"/>
      <c r="AX13" s="195"/>
      <c r="AY13" s="196"/>
      <c r="AZ13" s="196"/>
      <c r="BA13" s="196"/>
      <c r="BB13" s="196"/>
      <c r="BC13" s="197"/>
      <c r="BD13" s="150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73"/>
      <c r="BV13" s="172"/>
      <c r="BW13" s="172"/>
      <c r="BX13" s="172"/>
      <c r="BY13" s="172"/>
      <c r="CA13" s="172"/>
      <c r="CB13" s="172"/>
      <c r="CC13" s="172"/>
      <c r="CD13" s="172"/>
      <c r="CI13" s="172"/>
      <c r="CJ13" s="172"/>
      <c r="CK13" s="172"/>
      <c r="CL13" s="172"/>
    </row>
    <row r="14" spans="1:90" ht="9.75" customHeight="1">
      <c r="A14" s="272"/>
      <c r="B14" s="273"/>
      <c r="C14" s="273"/>
      <c r="D14" s="273"/>
      <c r="E14" s="273"/>
      <c r="F14" s="273"/>
      <c r="G14" s="274"/>
      <c r="H14" s="276"/>
      <c r="I14" s="276"/>
      <c r="J14" s="276"/>
      <c r="K14" s="276"/>
      <c r="L14" s="276"/>
      <c r="M14" s="261"/>
      <c r="N14" s="280"/>
      <c r="O14" s="272"/>
      <c r="P14" s="273"/>
      <c r="Q14" s="273"/>
      <c r="R14" s="273"/>
      <c r="S14" s="273"/>
      <c r="T14" s="273"/>
      <c r="U14" s="274"/>
      <c r="V14" s="284"/>
      <c r="W14" s="284"/>
      <c r="X14" s="284"/>
      <c r="Y14" s="284"/>
      <c r="Z14" s="284"/>
      <c r="AA14" s="284"/>
      <c r="AB14" s="284"/>
      <c r="AC14" s="288"/>
      <c r="AD14" s="289"/>
      <c r="AE14" s="214">
        <f>DATE($J$10+88,$M$10,8)</f>
        <v>43108</v>
      </c>
      <c r="AF14" s="214">
        <f>DATE($J$10+88,$M$10,9)</f>
        <v>43109</v>
      </c>
      <c r="AG14" s="214">
        <f>DATE($J$10+88,$M$10,10)</f>
        <v>43110</v>
      </c>
      <c r="AH14" s="214">
        <f>DATE($J$10+88,$M$10,11)</f>
        <v>43111</v>
      </c>
      <c r="AI14" s="214">
        <f>DATE($J$10+88,$M$10,12)</f>
        <v>43112</v>
      </c>
      <c r="AJ14" s="214">
        <f>DATE($J$10+88,$M$10,13)</f>
        <v>43113</v>
      </c>
      <c r="AK14" s="214">
        <f>DATE($J$10+88,$M$10,14)</f>
        <v>43114</v>
      </c>
      <c r="AL14" s="123"/>
      <c r="AM14" s="149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8"/>
      <c r="AY14" s="199"/>
      <c r="AZ14" s="199"/>
      <c r="BA14" s="199"/>
      <c r="BB14" s="199"/>
      <c r="BC14" s="200"/>
      <c r="BD14" s="150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73"/>
      <c r="BV14" s="172"/>
      <c r="BW14" s="172"/>
      <c r="BX14" s="172"/>
      <c r="BY14" s="172"/>
      <c r="CA14" s="172"/>
      <c r="CB14" s="172"/>
      <c r="CC14" s="172"/>
      <c r="CD14" s="172"/>
      <c r="CI14" s="172"/>
      <c r="CJ14" s="172"/>
      <c r="CK14" s="172"/>
      <c r="CL14" s="172"/>
    </row>
    <row r="15" spans="1:90" ht="9.75" customHeight="1">
      <c r="A15" s="236"/>
      <c r="B15" s="237"/>
      <c r="C15" s="237"/>
      <c r="D15" s="237"/>
      <c r="E15" s="237"/>
      <c r="F15" s="237"/>
      <c r="G15" s="238"/>
      <c r="H15" s="277"/>
      <c r="I15" s="277"/>
      <c r="J15" s="277"/>
      <c r="K15" s="277"/>
      <c r="L15" s="277"/>
      <c r="M15" s="281"/>
      <c r="N15" s="282"/>
      <c r="O15" s="236"/>
      <c r="P15" s="237"/>
      <c r="Q15" s="237"/>
      <c r="R15" s="237"/>
      <c r="S15" s="237"/>
      <c r="T15" s="237"/>
      <c r="U15" s="238"/>
      <c r="V15" s="285"/>
      <c r="W15" s="285"/>
      <c r="X15" s="285"/>
      <c r="Y15" s="285"/>
      <c r="Z15" s="285"/>
      <c r="AA15" s="285"/>
      <c r="AB15" s="285"/>
      <c r="AC15" s="290"/>
      <c r="AD15" s="291"/>
      <c r="AE15" s="215"/>
      <c r="AF15" s="215"/>
      <c r="AG15" s="215"/>
      <c r="AH15" s="215"/>
      <c r="AI15" s="215"/>
      <c r="AJ15" s="215"/>
      <c r="AK15" s="215"/>
      <c r="AL15" s="123"/>
      <c r="AM15" s="149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201"/>
      <c r="AY15" s="202"/>
      <c r="AZ15" s="202"/>
      <c r="BA15" s="202"/>
      <c r="BB15" s="202"/>
      <c r="BC15" s="203"/>
      <c r="BD15" s="18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73"/>
    </row>
    <row r="16" spans="1:90" ht="9.75" customHeight="1" thickBot="1">
      <c r="A16" s="233" t="s">
        <v>49</v>
      </c>
      <c r="B16" s="234"/>
      <c r="C16" s="234"/>
      <c r="D16" s="234"/>
      <c r="E16" s="234"/>
      <c r="F16" s="234"/>
      <c r="G16" s="235"/>
      <c r="H16" s="275" t="str">
        <f>データ!K34</f>
        <v/>
      </c>
      <c r="I16" s="275"/>
      <c r="J16" s="275"/>
      <c r="K16" s="275"/>
      <c r="L16" s="275"/>
      <c r="M16" s="278" t="s">
        <v>53</v>
      </c>
      <c r="N16" s="279"/>
      <c r="O16" s="233" t="s">
        <v>50</v>
      </c>
      <c r="P16" s="234"/>
      <c r="Q16" s="234"/>
      <c r="R16" s="234"/>
      <c r="S16" s="234"/>
      <c r="T16" s="234"/>
      <c r="U16" s="235"/>
      <c r="V16" s="283" t="str">
        <f>IF(H16="","",データ!Q34)</f>
        <v/>
      </c>
      <c r="W16" s="283"/>
      <c r="X16" s="283"/>
      <c r="Y16" s="283"/>
      <c r="Z16" s="283"/>
      <c r="AA16" s="283"/>
      <c r="AB16" s="283"/>
      <c r="AC16" s="286" t="s">
        <v>65</v>
      </c>
      <c r="AD16" s="287"/>
      <c r="AE16" s="214">
        <f>DATE($J$10+88,$M$10,15)</f>
        <v>43115</v>
      </c>
      <c r="AF16" s="214">
        <f>DATE($J$10+88,$M$10,16)</f>
        <v>43116</v>
      </c>
      <c r="AG16" s="214">
        <f>DATE($J$10+88,$M$10,17)</f>
        <v>43117</v>
      </c>
      <c r="AH16" s="214">
        <f>DATE($J$10+88,$M$10,18)</f>
        <v>43118</v>
      </c>
      <c r="AI16" s="214">
        <f>DATE($J$10+88,$M$10,19)</f>
        <v>43119</v>
      </c>
      <c r="AJ16" s="214">
        <f>DATE($J$10+88,$M$10,20)</f>
        <v>43120</v>
      </c>
      <c r="AK16" s="214">
        <f>DATE($J$10+88,$M$10,21)</f>
        <v>43121</v>
      </c>
      <c r="AL16" s="123"/>
      <c r="AM16" s="151"/>
      <c r="AN16" s="152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5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73"/>
    </row>
    <row r="17" spans="1:72" ht="9.75" customHeight="1" thickTop="1">
      <c r="A17" s="272"/>
      <c r="B17" s="273"/>
      <c r="C17" s="273"/>
      <c r="D17" s="273"/>
      <c r="E17" s="273"/>
      <c r="F17" s="273"/>
      <c r="G17" s="274"/>
      <c r="H17" s="276"/>
      <c r="I17" s="276"/>
      <c r="J17" s="276"/>
      <c r="K17" s="276"/>
      <c r="L17" s="276"/>
      <c r="M17" s="261"/>
      <c r="N17" s="280"/>
      <c r="O17" s="272"/>
      <c r="P17" s="273"/>
      <c r="Q17" s="273"/>
      <c r="R17" s="273"/>
      <c r="S17" s="273"/>
      <c r="T17" s="273"/>
      <c r="U17" s="274"/>
      <c r="V17" s="284"/>
      <c r="W17" s="284"/>
      <c r="X17" s="284"/>
      <c r="Y17" s="284"/>
      <c r="Z17" s="284"/>
      <c r="AA17" s="284"/>
      <c r="AB17" s="284"/>
      <c r="AC17" s="288"/>
      <c r="AD17" s="289"/>
      <c r="AE17" s="215"/>
      <c r="AF17" s="215"/>
      <c r="AG17" s="215"/>
      <c r="AH17" s="215"/>
      <c r="AI17" s="215"/>
      <c r="AJ17" s="215"/>
      <c r="AK17" s="215"/>
      <c r="AL17" s="123"/>
      <c r="AM17" s="123"/>
      <c r="AN17" s="123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73"/>
    </row>
    <row r="18" spans="1:72" ht="9.75" customHeight="1">
      <c r="A18" s="272"/>
      <c r="B18" s="273"/>
      <c r="C18" s="273"/>
      <c r="D18" s="273"/>
      <c r="E18" s="273"/>
      <c r="F18" s="273"/>
      <c r="G18" s="274"/>
      <c r="H18" s="276"/>
      <c r="I18" s="276"/>
      <c r="J18" s="276"/>
      <c r="K18" s="276"/>
      <c r="L18" s="276"/>
      <c r="M18" s="261"/>
      <c r="N18" s="280"/>
      <c r="O18" s="272"/>
      <c r="P18" s="273"/>
      <c r="Q18" s="273"/>
      <c r="R18" s="273"/>
      <c r="S18" s="273"/>
      <c r="T18" s="273"/>
      <c r="U18" s="274"/>
      <c r="V18" s="284"/>
      <c r="W18" s="284"/>
      <c r="X18" s="284"/>
      <c r="Y18" s="284"/>
      <c r="Z18" s="284"/>
      <c r="AA18" s="284"/>
      <c r="AB18" s="284"/>
      <c r="AC18" s="288"/>
      <c r="AD18" s="289"/>
      <c r="AE18" s="214">
        <f>DATE($J$10+88,$M$10,22)</f>
        <v>43122</v>
      </c>
      <c r="AF18" s="214">
        <f>DATE($J$10+88,$M$10,23)</f>
        <v>43123</v>
      </c>
      <c r="AG18" s="214">
        <f>DATE($J$10+88,$M$10,24)</f>
        <v>43124</v>
      </c>
      <c r="AH18" s="214">
        <f>DATE($J$10+88,$M$10,25)</f>
        <v>43125</v>
      </c>
      <c r="AI18" s="214">
        <f>DATE($J$10+88,$M$10,26)</f>
        <v>43126</v>
      </c>
      <c r="AJ18" s="214">
        <f>DATE($J$10+88,$M$10,27)</f>
        <v>43127</v>
      </c>
      <c r="AK18" s="214">
        <f>DATE($J$10+88,$M$10,28)</f>
        <v>43128</v>
      </c>
      <c r="AL18" s="123"/>
      <c r="AM18" s="123"/>
      <c r="AN18" s="123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73"/>
    </row>
    <row r="19" spans="1:72" ht="9.75" customHeight="1">
      <c r="A19" s="236"/>
      <c r="B19" s="237"/>
      <c r="C19" s="237"/>
      <c r="D19" s="237"/>
      <c r="E19" s="237"/>
      <c r="F19" s="237"/>
      <c r="G19" s="238"/>
      <c r="H19" s="277"/>
      <c r="I19" s="277"/>
      <c r="J19" s="277"/>
      <c r="K19" s="277"/>
      <c r="L19" s="277"/>
      <c r="M19" s="281"/>
      <c r="N19" s="282"/>
      <c r="O19" s="236"/>
      <c r="P19" s="237"/>
      <c r="Q19" s="237"/>
      <c r="R19" s="237"/>
      <c r="S19" s="237"/>
      <c r="T19" s="237"/>
      <c r="U19" s="238"/>
      <c r="V19" s="285"/>
      <c r="W19" s="285"/>
      <c r="X19" s="285"/>
      <c r="Y19" s="285"/>
      <c r="Z19" s="285"/>
      <c r="AA19" s="285"/>
      <c r="AB19" s="285"/>
      <c r="AC19" s="290"/>
      <c r="AD19" s="291"/>
      <c r="AE19" s="215"/>
      <c r="AF19" s="215"/>
      <c r="AG19" s="215"/>
      <c r="AH19" s="215"/>
      <c r="AI19" s="215"/>
      <c r="AJ19" s="215"/>
      <c r="AK19" s="215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73"/>
    </row>
    <row r="20" spans="1:72" ht="20.25" customHeight="1">
      <c r="A20" s="241" t="s">
        <v>51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3"/>
      <c r="O20" s="301" t="s">
        <v>67</v>
      </c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186">
        <f>IF(DAY(AK18+1)=29,DATE($J$10+88,$M$10,29),TEXT(0,29))</f>
        <v>43129</v>
      </c>
      <c r="AF20" s="180">
        <f>IF(DAY(AK18+2)=30,DATE($J$10+88,$M$10,30),TEXT(0,30))</f>
        <v>43130</v>
      </c>
      <c r="AG20" s="179">
        <f>IF(DAY(AK18+3)=31,DATE($J$10+88,$M$10,31),TEXT(0,31))</f>
        <v>43131</v>
      </c>
      <c r="AH20" s="308" t="s">
        <v>104</v>
      </c>
      <c r="AI20" s="309"/>
      <c r="AJ20" s="309"/>
      <c r="AK20" s="310"/>
      <c r="AN20" s="191" t="str">
        <f>IF(データ!F30="","",データ!F30)</f>
        <v/>
      </c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T20" s="173"/>
    </row>
    <row r="21" spans="1:72" ht="30.75" customHeight="1">
      <c r="A21" s="311" t="s">
        <v>59</v>
      </c>
      <c r="B21" s="312"/>
      <c r="C21" s="312"/>
      <c r="D21" s="312"/>
      <c r="E21" s="312"/>
      <c r="F21" s="312"/>
      <c r="G21" s="313"/>
      <c r="H21" s="314" t="s">
        <v>52</v>
      </c>
      <c r="I21" s="315"/>
      <c r="J21" s="315"/>
      <c r="K21" s="315"/>
      <c r="L21" s="316"/>
      <c r="M21" s="317" t="s">
        <v>71</v>
      </c>
      <c r="N21" s="318"/>
      <c r="O21" s="319"/>
      <c r="P21" s="320" t="s">
        <v>66</v>
      </c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BT21" s="173"/>
    </row>
    <row r="22" spans="1:72" ht="28.5" customHeight="1">
      <c r="A22" s="294" t="s">
        <v>68</v>
      </c>
      <c r="B22" s="295"/>
      <c r="C22" s="295"/>
      <c r="D22" s="295"/>
      <c r="E22" s="295"/>
      <c r="F22" s="295"/>
      <c r="G22" s="296"/>
      <c r="H22" s="300" t="s">
        <v>52</v>
      </c>
      <c r="I22" s="301"/>
      <c r="J22" s="301"/>
      <c r="K22" s="301"/>
      <c r="L22" s="301"/>
      <c r="M22" s="302" t="s">
        <v>97</v>
      </c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4"/>
      <c r="AO22" s="292" t="s">
        <v>131</v>
      </c>
      <c r="AP22" s="292"/>
      <c r="AQ22" s="292"/>
      <c r="AR22" s="292"/>
      <c r="AS22" s="292"/>
      <c r="AT22" s="292"/>
      <c r="AU22" s="292"/>
      <c r="AV22" s="292"/>
      <c r="AW22" s="292"/>
      <c r="AX22" s="292"/>
      <c r="BT22" s="173"/>
    </row>
    <row r="23" spans="1:72" ht="4.5" customHeight="1">
      <c r="A23" s="297"/>
      <c r="B23" s="298"/>
      <c r="C23" s="298"/>
      <c r="D23" s="298"/>
      <c r="E23" s="298"/>
      <c r="F23" s="298"/>
      <c r="G23" s="299"/>
      <c r="H23" s="153"/>
      <c r="I23" s="154"/>
      <c r="J23" s="154"/>
      <c r="K23" s="154"/>
      <c r="L23" s="154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BT23" s="173"/>
    </row>
    <row r="24" spans="1:72" ht="15" customHeight="1">
      <c r="A24" s="297"/>
      <c r="B24" s="298"/>
      <c r="C24" s="298"/>
      <c r="D24" s="298"/>
      <c r="E24" s="298"/>
      <c r="F24" s="298"/>
      <c r="G24" s="299"/>
      <c r="H24" s="305" t="s">
        <v>54</v>
      </c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157"/>
      <c r="AI24" s="157"/>
      <c r="AJ24" s="157"/>
      <c r="AK24" s="158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BT24" s="173"/>
    </row>
    <row r="25" spans="1:72" ht="15" customHeight="1">
      <c r="A25" s="297"/>
      <c r="B25" s="298"/>
      <c r="C25" s="298"/>
      <c r="D25" s="298"/>
      <c r="E25" s="298"/>
      <c r="F25" s="298"/>
      <c r="G25" s="299"/>
      <c r="H25" s="159" t="s">
        <v>58</v>
      </c>
      <c r="I25" s="160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57"/>
      <c r="AI25" s="157"/>
      <c r="AJ25" s="157"/>
      <c r="AK25" s="158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BT25" s="173"/>
    </row>
    <row r="26" spans="1:72" ht="15" customHeight="1">
      <c r="A26" s="297"/>
      <c r="B26" s="298"/>
      <c r="C26" s="298"/>
      <c r="D26" s="298"/>
      <c r="E26" s="298"/>
      <c r="F26" s="298"/>
      <c r="G26" s="299"/>
      <c r="H26" s="159" t="s">
        <v>55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57"/>
      <c r="AI26" s="157"/>
      <c r="AJ26" s="157"/>
      <c r="AK26" s="158"/>
      <c r="BT26" s="173"/>
    </row>
    <row r="27" spans="1:72" ht="15" customHeight="1">
      <c r="A27" s="297"/>
      <c r="B27" s="298"/>
      <c r="C27" s="298"/>
      <c r="D27" s="298"/>
      <c r="E27" s="298"/>
      <c r="F27" s="298"/>
      <c r="G27" s="299"/>
      <c r="H27" s="159" t="s">
        <v>57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57"/>
      <c r="AI27" s="157"/>
      <c r="AJ27" s="157"/>
      <c r="AK27" s="158"/>
      <c r="BT27" s="173"/>
    </row>
    <row r="28" spans="1:72" ht="15" customHeight="1">
      <c r="A28" s="297"/>
      <c r="B28" s="298"/>
      <c r="C28" s="298"/>
      <c r="D28" s="298"/>
      <c r="E28" s="298"/>
      <c r="F28" s="298"/>
      <c r="G28" s="299"/>
      <c r="H28" s="159"/>
      <c r="I28" s="160" t="s">
        <v>94</v>
      </c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57"/>
      <c r="AI28" s="157"/>
      <c r="AJ28" s="157"/>
      <c r="AK28" s="158"/>
      <c r="BT28" s="173"/>
    </row>
    <row r="29" spans="1:72" ht="3.75" customHeight="1">
      <c r="A29" s="128"/>
      <c r="B29" s="129"/>
      <c r="C29" s="129"/>
      <c r="D29" s="129"/>
      <c r="E29" s="129"/>
      <c r="F29" s="129"/>
      <c r="G29" s="124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0"/>
      <c r="AI29" s="100"/>
      <c r="AJ29" s="100"/>
      <c r="AK29" s="104"/>
      <c r="BT29" s="173"/>
    </row>
    <row r="30" spans="1:72" ht="7.5" customHeight="1">
      <c r="A30" s="126"/>
      <c r="B30" s="127"/>
      <c r="C30" s="127"/>
      <c r="D30" s="127"/>
      <c r="E30" s="127"/>
      <c r="F30" s="127"/>
      <c r="G30" s="127"/>
      <c r="H30" s="106"/>
      <c r="I30" s="10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7"/>
      <c r="AI30" s="107"/>
      <c r="AJ30" s="107"/>
      <c r="AK30" s="108"/>
      <c r="BT30" s="173"/>
    </row>
    <row r="31" spans="1:72" ht="23.25" customHeight="1">
      <c r="A31" s="109"/>
      <c r="B31" s="307" t="s">
        <v>28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04"/>
      <c r="BT31" s="173"/>
    </row>
    <row r="32" spans="1:72" ht="23.25" customHeight="1">
      <c r="A32" s="109"/>
      <c r="B32" s="100"/>
      <c r="C32" s="100" t="s"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4"/>
      <c r="BT32" s="173"/>
    </row>
    <row r="33" spans="1:72" ht="24.75" customHeight="1">
      <c r="A33" s="109"/>
      <c r="B33" s="100"/>
      <c r="C33" s="100"/>
      <c r="D33" s="261" t="s">
        <v>19</v>
      </c>
      <c r="E33" s="261"/>
      <c r="F33" s="325" t="str">
        <f>データ!K31</f>
        <v>30</v>
      </c>
      <c r="G33" s="326"/>
      <c r="H33" s="100" t="s">
        <v>20</v>
      </c>
      <c r="I33" s="261" t="str">
        <f>データ!L31</f>
        <v>2</v>
      </c>
      <c r="J33" s="261"/>
      <c r="K33" s="100" t="s">
        <v>21</v>
      </c>
      <c r="L33" s="261" t="str">
        <f>データ!M31</f>
        <v>1</v>
      </c>
      <c r="M33" s="261"/>
      <c r="N33" s="100" t="s">
        <v>37</v>
      </c>
      <c r="O33" s="100"/>
      <c r="P33" s="100"/>
      <c r="Q33" s="261" t="s">
        <v>69</v>
      </c>
      <c r="R33" s="261"/>
      <c r="S33" s="261"/>
      <c r="T33" s="261"/>
      <c r="U33" s="293" t="s">
        <v>12</v>
      </c>
      <c r="V33" s="293"/>
      <c r="W33" s="100"/>
      <c r="X33" s="330" t="str">
        <f>データ!C11</f>
        <v>仙台市太白区長町南１－２－３</v>
      </c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104"/>
      <c r="BT33" s="173"/>
    </row>
    <row r="34" spans="1:72" ht="24.75" customHeight="1">
      <c r="A34" s="109"/>
      <c r="B34" s="100"/>
      <c r="C34" s="100"/>
      <c r="D34" s="125"/>
      <c r="E34" s="125"/>
      <c r="F34" s="125"/>
      <c r="G34" s="125"/>
      <c r="H34" s="100"/>
      <c r="I34" s="125"/>
      <c r="J34" s="125"/>
      <c r="K34" s="100"/>
      <c r="L34" s="125"/>
      <c r="M34" s="125"/>
      <c r="N34" s="100"/>
      <c r="O34" s="100"/>
      <c r="P34" s="100"/>
      <c r="Q34" s="125"/>
      <c r="R34" s="125"/>
      <c r="S34" s="125"/>
      <c r="T34" s="125"/>
      <c r="U34" s="293" t="s">
        <v>13</v>
      </c>
      <c r="V34" s="293"/>
      <c r="W34" s="100"/>
      <c r="X34" s="111"/>
      <c r="Y34" s="327" t="str">
        <f>S4</f>
        <v>名取　花子</v>
      </c>
      <c r="Z34" s="327"/>
      <c r="AA34" s="327"/>
      <c r="AB34" s="327"/>
      <c r="AC34" s="327"/>
      <c r="AD34" s="327"/>
      <c r="AE34" s="327"/>
      <c r="AF34" s="327"/>
      <c r="AG34" s="327"/>
      <c r="AH34" s="100"/>
      <c r="AI34" s="112" t="s">
        <v>18</v>
      </c>
      <c r="AJ34" s="100"/>
      <c r="AK34" s="104"/>
      <c r="BT34" s="173"/>
    </row>
    <row r="35" spans="1:72" ht="9.75" customHeight="1">
      <c r="A35" s="10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13"/>
      <c r="V35" s="113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100"/>
      <c r="AK35" s="104"/>
      <c r="BT35" s="173"/>
    </row>
    <row r="36" spans="1:72" ht="16.5" customHeight="1">
      <c r="A36" s="114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322" t="s">
        <v>29</v>
      </c>
      <c r="AB36" s="323"/>
      <c r="AC36" s="323"/>
      <c r="AD36" s="323"/>
      <c r="AE36" s="323"/>
      <c r="AF36" s="323"/>
      <c r="AG36" s="323"/>
      <c r="AH36" s="323"/>
      <c r="AI36" s="323"/>
      <c r="AJ36" s="323"/>
      <c r="AK36" s="324"/>
      <c r="BT36" s="173"/>
    </row>
    <row r="37" spans="1:72" ht="17.25" customHeight="1">
      <c r="A37" s="109"/>
      <c r="B37" s="100" t="s">
        <v>14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222" t="s">
        <v>19</v>
      </c>
      <c r="AB37" s="223"/>
      <c r="AC37" s="223"/>
      <c r="AD37" s="223"/>
      <c r="AE37" s="96" t="s">
        <v>20</v>
      </c>
      <c r="AF37" s="223"/>
      <c r="AG37" s="223"/>
      <c r="AH37" s="96" t="s">
        <v>21</v>
      </c>
      <c r="AI37" s="223"/>
      <c r="AJ37" s="223"/>
      <c r="AK37" s="97" t="s">
        <v>37</v>
      </c>
      <c r="BT37" s="173"/>
    </row>
    <row r="38" spans="1:72" ht="11.25" customHeight="1">
      <c r="A38" s="10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6"/>
      <c r="BT38" s="173"/>
    </row>
    <row r="39" spans="1:72" ht="27.75" customHeight="1">
      <c r="A39" s="109"/>
      <c r="B39" s="100"/>
      <c r="C39" s="100"/>
      <c r="D39" s="261" t="s">
        <v>19</v>
      </c>
      <c r="E39" s="261"/>
      <c r="F39" s="261"/>
      <c r="G39" s="261"/>
      <c r="H39" s="100" t="s">
        <v>20</v>
      </c>
      <c r="I39" s="261"/>
      <c r="J39" s="261"/>
      <c r="K39" s="100" t="s">
        <v>21</v>
      </c>
      <c r="L39" s="261"/>
      <c r="M39" s="261"/>
      <c r="N39" s="100" t="s">
        <v>37</v>
      </c>
      <c r="O39" s="100"/>
      <c r="P39" s="100"/>
      <c r="Q39" s="92"/>
      <c r="R39" s="100"/>
      <c r="S39" s="293" t="s">
        <v>8</v>
      </c>
      <c r="T39" s="293"/>
      <c r="U39" s="293"/>
      <c r="V39" s="293"/>
      <c r="W39" s="100"/>
      <c r="X39" s="328" t="str">
        <f>データ!C2</f>
        <v>名取市立○○小学校</v>
      </c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104"/>
      <c r="BT39" s="173"/>
    </row>
    <row r="40" spans="1:72" ht="27.75" customHeight="1">
      <c r="A40" s="109"/>
      <c r="B40" s="100"/>
      <c r="C40" s="100"/>
      <c r="D40" s="125"/>
      <c r="E40" s="125"/>
      <c r="F40" s="125"/>
      <c r="G40" s="125"/>
      <c r="H40" s="100"/>
      <c r="I40" s="125"/>
      <c r="J40" s="125"/>
      <c r="K40" s="100"/>
      <c r="L40" s="125"/>
      <c r="M40" s="125"/>
      <c r="N40" s="100"/>
      <c r="O40" s="100"/>
      <c r="P40" s="100"/>
      <c r="Q40" s="92"/>
      <c r="R40" s="100"/>
      <c r="S40" s="293" t="s">
        <v>25</v>
      </c>
      <c r="T40" s="293"/>
      <c r="U40" s="293"/>
      <c r="V40" s="293"/>
      <c r="W40" s="100"/>
      <c r="X40" s="111" t="s">
        <v>130</v>
      </c>
      <c r="Y40" s="100"/>
      <c r="Z40" s="100"/>
      <c r="AA40" s="329" t="str">
        <f>データ!C3</f>
        <v>山田　太郎</v>
      </c>
      <c r="AB40" s="329"/>
      <c r="AC40" s="329"/>
      <c r="AD40" s="329"/>
      <c r="AE40" s="329"/>
      <c r="AF40" s="329"/>
      <c r="AG40" s="329"/>
      <c r="AH40" s="100"/>
      <c r="AI40" s="100" t="s">
        <v>15</v>
      </c>
      <c r="AJ40" s="100"/>
      <c r="AK40" s="104"/>
      <c r="BT40" s="173"/>
    </row>
    <row r="41" spans="1:72" ht="16.5" customHeight="1">
      <c r="A41" s="117"/>
      <c r="B41" s="113"/>
      <c r="C41" s="113"/>
      <c r="D41" s="100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8"/>
      <c r="BT41" s="173"/>
    </row>
    <row r="42" spans="1:72" ht="5.25" customHeight="1">
      <c r="A42" s="107"/>
      <c r="B42" s="92"/>
      <c r="C42" s="92"/>
      <c r="D42" s="107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</row>
    <row r="43" spans="1:72" ht="14.25" customHeight="1">
      <c r="A43" s="119" t="s">
        <v>30</v>
      </c>
      <c r="B43" s="92"/>
      <c r="C43" s="119"/>
      <c r="D43" s="119"/>
      <c r="E43" s="119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</row>
    <row r="44" spans="1:72" ht="14.25" customHeight="1">
      <c r="A44" s="92"/>
      <c r="B44" s="119" t="s">
        <v>32</v>
      </c>
      <c r="C44" s="119"/>
      <c r="D44" s="119"/>
      <c r="E44" s="119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</row>
    <row r="45" spans="1:72" ht="14.25" customHeight="1">
      <c r="A45" s="119" t="s">
        <v>33</v>
      </c>
      <c r="B45" s="92"/>
      <c r="C45" s="119"/>
      <c r="D45" s="119"/>
      <c r="E45" s="119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</row>
    <row r="46" spans="1:72" ht="14.25" customHeight="1">
      <c r="A46" s="92"/>
      <c r="B46" s="119" t="s">
        <v>56</v>
      </c>
      <c r="C46" s="119"/>
      <c r="D46" s="119"/>
      <c r="E46" s="119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</row>
    <row r="47" spans="1:72" ht="14.25" customHeight="1">
      <c r="A47" s="92"/>
      <c r="B47" s="119" t="s">
        <v>38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</row>
    <row r="48" spans="1:72" ht="14.25" customHeight="1">
      <c r="A48" s="92"/>
      <c r="B48" s="119" t="s">
        <v>36</v>
      </c>
      <c r="C48" s="119"/>
      <c r="D48" s="119"/>
      <c r="E48" s="119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</row>
    <row r="1048576" spans="16384:16384" ht="34.5" customHeight="1">
      <c r="XFD1048576" s="1" t="s">
        <v>150</v>
      </c>
    </row>
  </sheetData>
  <sheetProtection selectLockedCells="1"/>
  <mergeCells count="158">
    <mergeCell ref="S40:V40"/>
    <mergeCell ref="U34:V34"/>
    <mergeCell ref="AA36:AK36"/>
    <mergeCell ref="AA37:AB37"/>
    <mergeCell ref="AC37:AD37"/>
    <mergeCell ref="AF37:AG37"/>
    <mergeCell ref="AI37:AJ37"/>
    <mergeCell ref="D33:E33"/>
    <mergeCell ref="F33:G33"/>
    <mergeCell ref="I33:J33"/>
    <mergeCell ref="L33:M33"/>
    <mergeCell ref="Q33:T33"/>
    <mergeCell ref="U33:V33"/>
    <mergeCell ref="Y34:AG34"/>
    <mergeCell ref="X39:AJ39"/>
    <mergeCell ref="AA40:AG40"/>
    <mergeCell ref="X33:AJ33"/>
    <mergeCell ref="A16:G19"/>
    <mergeCell ref="H16:L19"/>
    <mergeCell ref="M16:N19"/>
    <mergeCell ref="O16:U19"/>
    <mergeCell ref="V16:AB19"/>
    <mergeCell ref="AC16:AD19"/>
    <mergeCell ref="AO22:AX25"/>
    <mergeCell ref="D39:E39"/>
    <mergeCell ref="F39:G39"/>
    <mergeCell ref="I39:J39"/>
    <mergeCell ref="L39:M39"/>
    <mergeCell ref="S39:V39"/>
    <mergeCell ref="A22:G28"/>
    <mergeCell ref="H22:L22"/>
    <mergeCell ref="M22:AK22"/>
    <mergeCell ref="H24:AG24"/>
    <mergeCell ref="B31:N31"/>
    <mergeCell ref="A20:N20"/>
    <mergeCell ref="O20:AD20"/>
    <mergeCell ref="AH20:AK20"/>
    <mergeCell ref="A21:G21"/>
    <mergeCell ref="H21:L21"/>
    <mergeCell ref="M21:O21"/>
    <mergeCell ref="P21:AK21"/>
    <mergeCell ref="A12:G15"/>
    <mergeCell ref="H12:L15"/>
    <mergeCell ref="M12:N15"/>
    <mergeCell ref="O12:U15"/>
    <mergeCell ref="V12:AB15"/>
    <mergeCell ref="AC12:AD15"/>
    <mergeCell ref="AE12:AE13"/>
    <mergeCell ref="AF12:AF13"/>
    <mergeCell ref="AG12:AG13"/>
    <mergeCell ref="AE14:AE15"/>
    <mergeCell ref="AF14:AF15"/>
    <mergeCell ref="AG14:AG15"/>
    <mergeCell ref="A11:G11"/>
    <mergeCell ref="J11:K11"/>
    <mergeCell ref="N11:O11"/>
    <mergeCell ref="R11:V11"/>
    <mergeCell ref="W11:AB11"/>
    <mergeCell ref="AC11:AD11"/>
    <mergeCell ref="V10:W10"/>
    <mergeCell ref="Y10:Z10"/>
    <mergeCell ref="AB10:AC10"/>
    <mergeCell ref="A10:G10"/>
    <mergeCell ref="H10:I10"/>
    <mergeCell ref="J10:K10"/>
    <mergeCell ref="M10:N10"/>
    <mergeCell ref="P10:Q10"/>
    <mergeCell ref="T10:U10"/>
    <mergeCell ref="AG9:AH9"/>
    <mergeCell ref="A8:G8"/>
    <mergeCell ref="I8:J8"/>
    <mergeCell ref="K8:L8"/>
    <mergeCell ref="N8:O8"/>
    <mergeCell ref="Q8:R8"/>
    <mergeCell ref="T8:W8"/>
    <mergeCell ref="X8:Y8"/>
    <mergeCell ref="I9:J9"/>
    <mergeCell ref="K9:L9"/>
    <mergeCell ref="N9:O9"/>
    <mergeCell ref="Q9:R9"/>
    <mergeCell ref="T9:W9"/>
    <mergeCell ref="AG7:AH7"/>
    <mergeCell ref="A9:G9"/>
    <mergeCell ref="C1:X2"/>
    <mergeCell ref="AA1:AA3"/>
    <mergeCell ref="AB1:AE1"/>
    <mergeCell ref="AF1:AK1"/>
    <mergeCell ref="AB2:AE2"/>
    <mergeCell ref="AF2:AK2"/>
    <mergeCell ref="AB3:AE3"/>
    <mergeCell ref="AF3:AK3"/>
    <mergeCell ref="Z8:AA8"/>
    <mergeCell ref="AD8:AE8"/>
    <mergeCell ref="AD7:AE7"/>
    <mergeCell ref="AA5:AA6"/>
    <mergeCell ref="AB5:AB6"/>
    <mergeCell ref="AC5:AE5"/>
    <mergeCell ref="AF5:AG5"/>
    <mergeCell ref="AH5:AI5"/>
    <mergeCell ref="AJ5:AK5"/>
    <mergeCell ref="AC6:AE6"/>
    <mergeCell ref="AG8:AH8"/>
    <mergeCell ref="X9:Y9"/>
    <mergeCell ref="Z9:AA9"/>
    <mergeCell ref="AD9:AE9"/>
    <mergeCell ref="A7:G7"/>
    <mergeCell ref="H7:R7"/>
    <mergeCell ref="S7:V7"/>
    <mergeCell ref="X7:Y7"/>
    <mergeCell ref="Z7:AA7"/>
    <mergeCell ref="U5:U6"/>
    <mergeCell ref="V5:V6"/>
    <mergeCell ref="W5:W6"/>
    <mergeCell ref="X5:X6"/>
    <mergeCell ref="Y5:Y6"/>
    <mergeCell ref="Z5:Z6"/>
    <mergeCell ref="A4:G4"/>
    <mergeCell ref="H4:M4"/>
    <mergeCell ref="N4:R4"/>
    <mergeCell ref="S4:AB4"/>
    <mergeCell ref="AC4:AK4"/>
    <mergeCell ref="A5:G6"/>
    <mergeCell ref="H5:M6"/>
    <mergeCell ref="N5:R6"/>
    <mergeCell ref="S5:S6"/>
    <mergeCell ref="T5:T6"/>
    <mergeCell ref="AH12:AH13"/>
    <mergeCell ref="AI12:AI13"/>
    <mergeCell ref="AJ12:AJ13"/>
    <mergeCell ref="AK12:AK13"/>
    <mergeCell ref="AK16:AK17"/>
    <mergeCell ref="AH14:AH15"/>
    <mergeCell ref="AI14:AI15"/>
    <mergeCell ref="AJ14:AJ15"/>
    <mergeCell ref="AK14:AK15"/>
    <mergeCell ref="AH18:AH19"/>
    <mergeCell ref="AI18:AI19"/>
    <mergeCell ref="AJ18:AJ19"/>
    <mergeCell ref="AK18:AK19"/>
    <mergeCell ref="AH16:AH17"/>
    <mergeCell ref="AE18:AE19"/>
    <mergeCell ref="AF18:AF19"/>
    <mergeCell ref="AG18:AG19"/>
    <mergeCell ref="AE16:AE17"/>
    <mergeCell ref="AF16:AF17"/>
    <mergeCell ref="AG16:AG17"/>
    <mergeCell ref="AI16:AI17"/>
    <mergeCell ref="AJ16:AJ17"/>
    <mergeCell ref="AN20:BD20"/>
    <mergeCell ref="AN13:AW15"/>
    <mergeCell ref="AN11:AW11"/>
    <mergeCell ref="AX13:BC15"/>
    <mergeCell ref="AR10:AS10"/>
    <mergeCell ref="AV10:AW10"/>
    <mergeCell ref="AT10:AU10"/>
    <mergeCell ref="AO10:AQ10"/>
    <mergeCell ref="AX10:AZ10"/>
    <mergeCell ref="AX11:BC11"/>
  </mergeCells>
  <phoneticPr fontId="2"/>
  <conditionalFormatting sqref="AE19:BS19 AE17:AO17 AE18:AN18 BE15:BS18 AE16:AN16 AE12:AM15 BD12:BS14 AE20:AG20">
    <cfRule type="expression" dxfId="3" priority="1">
      <formula>WEEKDAY(AE12)=7</formula>
    </cfRule>
    <cfRule type="expression" dxfId="2" priority="5">
      <formula>WEEKDAY(AE12)=1</formula>
    </cfRule>
  </conditionalFormatting>
  <printOptions horizontalCentered="1" verticalCentered="1"/>
  <pageMargins left="0.70866141732283472" right="0.70866141732283472" top="0.39370078740157483" bottom="0.39370078740157483" header="0.35433070866141736" footer="0.35433070866141736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between" id="{8ADDBA02-1DB1-4B1E-9B96-EEE4C19EDA1A}">
            <xm:f>データ!$C$33</xm:f>
            <xm:f>データ!$E$33</xm:f>
            <x14:dxf>
              <font>
                <color auto="1"/>
              </font>
              <fill>
                <patternFill patternType="solid">
                  <bgColor rgb="FF00B0F0"/>
                </patternFill>
              </fill>
            </x14:dxf>
          </x14:cfRule>
          <x14:cfRule type="cellIs" priority="7" operator="between" id="{728ED87D-41D5-45EB-99F7-A1B00796097F}">
            <xm:f>データ!$C$34</xm:f>
            <xm:f>データ!$E$34</xm:f>
            <x14:dxf>
              <fill>
                <patternFill>
                  <bgColor rgb="FFFFC000"/>
                </patternFill>
              </fill>
            </x14:dxf>
          </x14:cfRule>
          <xm:sqref>AE19:BS19 AE17:AO17 AE18:AN18 BE15:BS18 AE16:AN16 AE12:AM15 BD12:BS14 AE20:AG20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5"/>
  <sheetViews>
    <sheetView zoomScaleNormal="100" workbookViewId="0">
      <selection activeCell="K13" sqref="K13"/>
    </sheetView>
  </sheetViews>
  <sheetFormatPr defaultRowHeight="21" customHeight="1"/>
  <cols>
    <col min="1" max="1" width="18.625" style="31" customWidth="1"/>
    <col min="2" max="2" width="5.25" style="31" customWidth="1"/>
    <col min="3" max="3" width="15.625" style="31" customWidth="1"/>
    <col min="4" max="4" width="5.25" style="30" customWidth="1"/>
    <col min="5" max="5" width="15.625" style="31" customWidth="1"/>
    <col min="6" max="6" width="5.25" style="31" customWidth="1"/>
    <col min="7" max="10" width="9" style="31" customWidth="1"/>
    <col min="11" max="16384" width="9" style="31"/>
  </cols>
  <sheetData>
    <row r="1" spans="1:20" ht="21" customHeight="1">
      <c r="A1" s="164" t="s">
        <v>132</v>
      </c>
      <c r="B1" s="162"/>
      <c r="C1" s="163"/>
      <c r="E1" s="138"/>
      <c r="K1" s="130"/>
    </row>
    <row r="2" spans="1:20" ht="19.5" customHeight="1">
      <c r="A2" s="335" t="s">
        <v>115</v>
      </c>
      <c r="B2" s="335"/>
      <c r="C2" s="166" t="s">
        <v>169</v>
      </c>
    </row>
    <row r="3" spans="1:20" ht="19.5" customHeight="1">
      <c r="A3" s="335" t="s">
        <v>114</v>
      </c>
      <c r="B3" s="335"/>
      <c r="C3" s="167" t="s">
        <v>170</v>
      </c>
      <c r="E3" s="31" t="s">
        <v>164</v>
      </c>
    </row>
    <row r="4" spans="1:20" ht="19.5" customHeight="1">
      <c r="A4" s="141" t="s">
        <v>123</v>
      </c>
      <c r="B4" s="139">
        <v>0.67</v>
      </c>
      <c r="C4" s="171">
        <v>13622</v>
      </c>
      <c r="D4" s="30" t="s">
        <v>124</v>
      </c>
      <c r="E4" s="31" t="s">
        <v>139</v>
      </c>
    </row>
    <row r="5" spans="1:20" ht="19.5" customHeight="1">
      <c r="B5" s="139">
        <v>0.5</v>
      </c>
      <c r="C5" s="171">
        <v>10165</v>
      </c>
      <c r="D5" s="30" t="s">
        <v>124</v>
      </c>
      <c r="E5" s="31" t="s">
        <v>165</v>
      </c>
    </row>
    <row r="6" spans="1:20" ht="21" customHeight="1">
      <c r="B6" s="139"/>
      <c r="E6" s="31" t="s">
        <v>135</v>
      </c>
    </row>
    <row r="7" spans="1:20" ht="21" customHeight="1">
      <c r="A7" s="335" t="s">
        <v>108</v>
      </c>
      <c r="B7" s="335"/>
      <c r="C7" s="167" t="s">
        <v>171</v>
      </c>
      <c r="E7" s="30"/>
    </row>
    <row r="8" spans="1:20" ht="21" customHeight="1">
      <c r="A8" s="335" t="s">
        <v>27</v>
      </c>
      <c r="B8" s="335"/>
      <c r="C8" s="167">
        <v>123456</v>
      </c>
      <c r="E8" s="30"/>
      <c r="K8" s="31" t="str">
        <f>MID($C$8,1,1)</f>
        <v>1</v>
      </c>
      <c r="L8" s="31" t="str">
        <f>MID($C$8,2,1)</f>
        <v>2</v>
      </c>
      <c r="M8" s="31" t="str">
        <f>MID($C$8,3,1)</f>
        <v>3</v>
      </c>
      <c r="N8" s="31" t="str">
        <f>MID($C$8,4,1)</f>
        <v>4</v>
      </c>
      <c r="O8" s="31" t="str">
        <f>MID($C$8,5,1)</f>
        <v>5</v>
      </c>
      <c r="P8" s="31" t="str">
        <f>MID($C$8,6,1)</f>
        <v>6</v>
      </c>
    </row>
    <row r="9" spans="1:20" ht="21" customHeight="1">
      <c r="A9" s="335" t="s">
        <v>109</v>
      </c>
      <c r="B9" s="335"/>
      <c r="C9" s="167" t="s">
        <v>172</v>
      </c>
      <c r="E9" s="30"/>
    </row>
    <row r="10" spans="1:20" ht="21" customHeight="1">
      <c r="A10" s="335" t="s">
        <v>110</v>
      </c>
      <c r="B10" s="335"/>
      <c r="C10" s="167">
        <v>3620101053</v>
      </c>
      <c r="E10" s="30"/>
      <c r="K10" s="31" t="str">
        <f>MID($C$10,1,1)</f>
        <v>3</v>
      </c>
      <c r="L10" s="31" t="str">
        <f>MID($C$10,2,1)</f>
        <v>6</v>
      </c>
      <c r="M10" s="31" t="str">
        <f>MID($C$10,3,1)</f>
        <v>2</v>
      </c>
      <c r="N10" s="31" t="str">
        <f>MID($C$10,4,1)</f>
        <v>0</v>
      </c>
      <c r="O10" s="31" t="str">
        <f>MID($C$10,5,1)</f>
        <v>1</v>
      </c>
      <c r="P10" s="31" t="str">
        <f>MID($C$10,6,1)</f>
        <v>0</v>
      </c>
      <c r="Q10" s="31" t="str">
        <f>MID($C$10,7,1)</f>
        <v>1</v>
      </c>
      <c r="R10" s="31" t="str">
        <f>MID($C$10,8,1)</f>
        <v>0</v>
      </c>
      <c r="S10" s="31" t="str">
        <f>MID($C$10,9,1)</f>
        <v>5</v>
      </c>
      <c r="T10" s="31" t="str">
        <f>MID($C$10,10,1)</f>
        <v>3</v>
      </c>
    </row>
    <row r="11" spans="1:20" ht="21" customHeight="1">
      <c r="A11" s="141" t="s">
        <v>129</v>
      </c>
      <c r="B11" s="141"/>
      <c r="C11" s="166" t="s">
        <v>173</v>
      </c>
      <c r="E11" s="30"/>
    </row>
    <row r="12" spans="1:20" ht="21" customHeight="1">
      <c r="A12" s="335" t="s">
        <v>9</v>
      </c>
      <c r="B12" s="335"/>
      <c r="C12" s="167" t="s">
        <v>174</v>
      </c>
      <c r="E12" s="187" t="s">
        <v>167</v>
      </c>
    </row>
    <row r="13" spans="1:20" ht="21" customHeight="1">
      <c r="A13" s="335" t="s">
        <v>111</v>
      </c>
      <c r="B13" s="335"/>
      <c r="C13" s="168">
        <v>42949</v>
      </c>
      <c r="E13" s="134">
        <f>C13+57</f>
        <v>43006</v>
      </c>
      <c r="K13" s="130" t="str">
        <f>TEXT(YEAR(C13)-1988,0)</f>
        <v>29</v>
      </c>
      <c r="L13" s="31" t="str">
        <f>TEXT(MONTH(C13),0)</f>
        <v>8</v>
      </c>
      <c r="M13" s="31" t="str">
        <f>TEXT(DAY(C13),0)</f>
        <v>2</v>
      </c>
    </row>
    <row r="14" spans="1:20" ht="21" customHeight="1">
      <c r="A14" s="335" t="s">
        <v>26</v>
      </c>
      <c r="B14" s="335"/>
      <c r="C14" s="168">
        <v>43006</v>
      </c>
      <c r="D14" s="30" t="s">
        <v>112</v>
      </c>
      <c r="E14" s="168">
        <v>43555</v>
      </c>
      <c r="K14" s="130" t="str">
        <f>TEXT(YEAR(C14)-1988,0)</f>
        <v>29</v>
      </c>
      <c r="L14" s="31" t="str">
        <f>TEXT(MONTH(C14),0)</f>
        <v>9</v>
      </c>
      <c r="M14" s="31" t="str">
        <f>TEXT(DAY(C14),0)</f>
        <v>28</v>
      </c>
      <c r="N14" s="31" t="s">
        <v>122</v>
      </c>
      <c r="O14" s="130" t="str">
        <f>TEXT(YEAR(E14)-1988,0)</f>
        <v>31</v>
      </c>
      <c r="P14" s="31" t="str">
        <f>TEXT(MONTH(E14),0)</f>
        <v>3</v>
      </c>
      <c r="Q14" s="31" t="str">
        <f>TEXT(DAY(E14),0)</f>
        <v>31</v>
      </c>
    </row>
    <row r="15" spans="1:20" ht="21" customHeight="1">
      <c r="A15" s="336" t="s">
        <v>127</v>
      </c>
      <c r="B15" s="336"/>
      <c r="C15" s="170"/>
      <c r="D15" s="30" t="s">
        <v>113</v>
      </c>
      <c r="E15" s="170"/>
      <c r="F15" s="31" t="s">
        <v>134</v>
      </c>
      <c r="K15" s="130" t="str">
        <f>IF(C15="","",TEXT(YEAR(C15)-1988,0))</f>
        <v/>
      </c>
      <c r="L15" s="31" t="str">
        <f>IF(C15="","",TEXT(MONTH(C15),0))</f>
        <v/>
      </c>
      <c r="M15" s="31" t="str">
        <f>IF(C15="","",TEXT(DAY(C15),0))</f>
        <v/>
      </c>
      <c r="N15" s="31" t="s">
        <v>122</v>
      </c>
      <c r="O15" s="130" t="str">
        <f>IF(E15="","",TEXT(YEAR(E15)-1988,0))</f>
        <v/>
      </c>
      <c r="P15" s="31" t="str">
        <f>IF(E15="","",TEXT(MONTH(E15),0))</f>
        <v/>
      </c>
      <c r="Q15" s="31" t="str">
        <f>IF(E15="","",TEXT(DAY(E15),0))</f>
        <v/>
      </c>
    </row>
    <row r="16" spans="1:20" ht="21" customHeight="1">
      <c r="A16" s="141" t="s">
        <v>128</v>
      </c>
      <c r="B16" s="132" t="s">
        <v>60</v>
      </c>
      <c r="C16" s="166">
        <v>16</v>
      </c>
      <c r="D16" s="30" t="s">
        <v>16</v>
      </c>
    </row>
    <row r="17" spans="1:20" ht="21" customHeight="1">
      <c r="A17" s="335" t="s">
        <v>62</v>
      </c>
      <c r="B17" s="335"/>
      <c r="C17" s="169">
        <v>260000</v>
      </c>
      <c r="D17" s="30" t="s">
        <v>17</v>
      </c>
      <c r="K17" s="131">
        <f>C17</f>
        <v>260000</v>
      </c>
      <c r="L17" s="30" t="s">
        <v>125</v>
      </c>
      <c r="M17" s="30">
        <v>22</v>
      </c>
      <c r="N17" s="30" t="s">
        <v>126</v>
      </c>
      <c r="O17" s="131">
        <f>ROUND(K17/M17,-1)</f>
        <v>11820</v>
      </c>
      <c r="Q17" s="136">
        <v>0.67</v>
      </c>
      <c r="R17" s="131">
        <f>ROUNDDOWN(O17*Q17,0)</f>
        <v>7919</v>
      </c>
      <c r="S17" s="140">
        <f>C4</f>
        <v>13622</v>
      </c>
      <c r="T17" s="131">
        <f>IF(R17&lt;=S17,R17,S17)</f>
        <v>7919</v>
      </c>
    </row>
    <row r="18" spans="1:20" ht="21" customHeight="1">
      <c r="A18" s="331" t="s">
        <v>151</v>
      </c>
      <c r="B18" s="331"/>
      <c r="C18" s="175">
        <f>C14</f>
        <v>43006</v>
      </c>
      <c r="D18" s="30" t="s">
        <v>112</v>
      </c>
      <c r="E18" s="177">
        <f>IF(E15="",IF(E14&gt;=C26,C26,E14),IF(E15&gt;=C26,C26,E15))</f>
        <v>43313</v>
      </c>
      <c r="K18" s="131"/>
      <c r="L18" s="30"/>
      <c r="M18" s="30"/>
      <c r="N18" s="30"/>
      <c r="O18" s="131"/>
      <c r="Q18" s="136">
        <v>0.5</v>
      </c>
      <c r="R18" s="140">
        <f>ROUNDDOWN(O17*Q18,0)</f>
        <v>5910</v>
      </c>
      <c r="S18" s="140">
        <f>C5</f>
        <v>10165</v>
      </c>
      <c r="T18" s="131">
        <f>IF(R18&lt;=S18,R18,S18)</f>
        <v>5910</v>
      </c>
    </row>
    <row r="19" spans="1:20" ht="26.25" customHeight="1">
      <c r="A19" s="332" t="s">
        <v>152</v>
      </c>
      <c r="B19" s="333"/>
      <c r="C19" s="175">
        <f>C18</f>
        <v>43006</v>
      </c>
      <c r="D19" s="30" t="s">
        <v>112</v>
      </c>
      <c r="E19" s="188"/>
      <c r="F19" s="334" t="s">
        <v>153</v>
      </c>
      <c r="G19" s="334"/>
      <c r="H19" s="334"/>
      <c r="I19" s="334"/>
      <c r="J19" s="334"/>
      <c r="K19" s="131"/>
      <c r="L19" s="30"/>
      <c r="M19" s="30"/>
      <c r="N19" s="30"/>
      <c r="O19" s="131"/>
    </row>
    <row r="20" spans="1:20" ht="21" customHeight="1">
      <c r="A20" s="176"/>
      <c r="B20" s="176"/>
      <c r="C20" s="174"/>
      <c r="K20" s="131"/>
      <c r="L20" s="30"/>
      <c r="M20" s="30"/>
      <c r="N20" s="30"/>
      <c r="O20" s="131"/>
    </row>
    <row r="21" spans="1:20" ht="21" customHeight="1">
      <c r="A21" s="165" t="s">
        <v>133</v>
      </c>
      <c r="C21" s="31" t="s">
        <v>168</v>
      </c>
    </row>
    <row r="22" spans="1:20" ht="15.75" customHeight="1">
      <c r="A22" s="31" t="s">
        <v>116</v>
      </c>
    </row>
    <row r="23" spans="1:20" ht="15.75" customHeight="1">
      <c r="A23" s="31" t="s">
        <v>117</v>
      </c>
      <c r="C23" s="130">
        <f>C13+57</f>
        <v>43006</v>
      </c>
      <c r="D23" s="133" t="s">
        <v>149</v>
      </c>
    </row>
    <row r="24" spans="1:20" ht="15.75" customHeight="1">
      <c r="A24" s="31" t="s">
        <v>120</v>
      </c>
      <c r="C24" s="142">
        <f>C23</f>
        <v>43006</v>
      </c>
      <c r="D24" s="143" t="s">
        <v>22</v>
      </c>
      <c r="E24" s="142">
        <f>IF(E15="",IF(C24+179&lt;=E14,C24+179,E14),IF(C24+179&lt;=E15,C24+179,E15))</f>
        <v>43185</v>
      </c>
    </row>
    <row r="25" spans="1:20" ht="15.75" customHeight="1">
      <c r="A25" s="31" t="s">
        <v>121</v>
      </c>
      <c r="C25" s="130">
        <f>IF(E24=C24+179,C24+180,"")</f>
        <v>43186</v>
      </c>
      <c r="D25" s="30" t="s">
        <v>22</v>
      </c>
      <c r="E25" s="135">
        <f>IF(E19="",IF(E14&gt;=C26,C26,E14),E19)</f>
        <v>43313</v>
      </c>
    </row>
    <row r="26" spans="1:20" ht="15.75" customHeight="1">
      <c r="A26" s="31" t="s">
        <v>118</v>
      </c>
      <c r="C26" s="135">
        <f>EDATE(C13,12)-1</f>
        <v>43313</v>
      </c>
    </row>
    <row r="27" spans="1:20" ht="15.75" customHeight="1">
      <c r="A27" s="31" t="s">
        <v>119</v>
      </c>
      <c r="C27" s="135">
        <f>EDATE(C13,18)-1</f>
        <v>43497</v>
      </c>
    </row>
    <row r="28" spans="1:20" ht="15.75" customHeight="1">
      <c r="A28" s="31" t="s">
        <v>176</v>
      </c>
      <c r="C28" s="130">
        <f>EDATE(C13,24)-1</f>
        <v>43678</v>
      </c>
    </row>
    <row r="29" spans="1:20" ht="15.75" customHeight="1"/>
    <row r="30" spans="1:20" ht="21" customHeight="1">
      <c r="A30" s="54" t="s">
        <v>159</v>
      </c>
      <c r="B30" s="54"/>
      <c r="C30" s="138">
        <f>IF(DATE(様式!AR10+88,様式!AV10,1)&gt;=C18,DATE(様式!AR10+88,様式!AV10,1),C18)</f>
        <v>43101</v>
      </c>
      <c r="D30" s="36" t="s">
        <v>112</v>
      </c>
      <c r="E30" s="138">
        <f>IF(E19="",IF(EOMONTH(C30,0)&lt;=E18,EOMONTH(C30,0),E18),IF(EOMONTH(C30,0)&lt;=E19,EOMONTH(C30,0),E19))</f>
        <v>43131</v>
      </c>
      <c r="F30" s="31" t="str">
        <f>IF(E30&lt;C30,"請求期間を確認してください","")</f>
        <v/>
      </c>
      <c r="K30" s="130" t="str">
        <f>TEXT(YEAR(C30)-1988,0)</f>
        <v>30</v>
      </c>
      <c r="L30" s="31" t="str">
        <f>TEXT(MONTH(C30),0)</f>
        <v>1</v>
      </c>
      <c r="M30" s="31" t="str">
        <f>TEXT(DAY(C30),0)</f>
        <v>1</v>
      </c>
      <c r="N30" s="30" t="s">
        <v>158</v>
      </c>
      <c r="O30" s="130" t="str">
        <f>TEXT(YEAR(E30)-1988,0)</f>
        <v>30</v>
      </c>
      <c r="P30" s="31" t="str">
        <f>TEXT(MONTH(E30),0)</f>
        <v>1</v>
      </c>
      <c r="Q30" s="31" t="str">
        <f>TEXT(DAY(E30),0)</f>
        <v>31</v>
      </c>
    </row>
    <row r="31" spans="1:20" ht="21" customHeight="1">
      <c r="A31" s="54" t="s">
        <v>161</v>
      </c>
      <c r="B31" s="54"/>
      <c r="C31" s="138">
        <f>IF(様式!AX13="",様式!AX11,様式!AX13)</f>
        <v>43132</v>
      </c>
      <c r="D31" s="36"/>
      <c r="E31" s="138"/>
      <c r="K31" s="130" t="str">
        <f>TEXT(YEAR(C31)-1988,0)</f>
        <v>30</v>
      </c>
      <c r="L31" s="31" t="str">
        <f>TEXT(MONTH(C31),0)</f>
        <v>2</v>
      </c>
      <c r="M31" s="31" t="str">
        <f>TEXT(DAY(C31),0)</f>
        <v>1</v>
      </c>
      <c r="N31" s="30"/>
      <c r="O31" s="130"/>
    </row>
    <row r="32" spans="1:20" ht="12" customHeight="1">
      <c r="B32" s="136"/>
      <c r="C32" s="138"/>
      <c r="D32" s="36"/>
      <c r="E32" s="138"/>
      <c r="K32" s="130"/>
      <c r="N32" s="30"/>
      <c r="O32" s="130"/>
    </row>
    <row r="33" spans="1:17" ht="21" customHeight="1">
      <c r="A33" s="31" t="s">
        <v>160</v>
      </c>
      <c r="B33" s="136">
        <v>0.67</v>
      </c>
      <c r="C33" s="137">
        <f>IF(C30&gt;=C25,"",IF(AND(C24&lt;=C30,C30&lt;=E24),C30,""))</f>
        <v>43101</v>
      </c>
      <c r="D33" s="30" t="s">
        <v>22</v>
      </c>
      <c r="E33" s="181">
        <f>IF(AND(C30&lt;=E24,E24&lt;=E30),E24,IF(C30&lt;=E24,E30,IF(C30&gt;=E24,"",E30)))</f>
        <v>43131</v>
      </c>
      <c r="K33" s="31">
        <f>IF(C33="","",IF(NETWORKDAYS(C33,E33)&lt;0,"",NETWORKDAYS(C33,E33)))</f>
        <v>23</v>
      </c>
      <c r="M33" s="140">
        <f>T17</f>
        <v>7919</v>
      </c>
      <c r="N33" s="30" t="s">
        <v>81</v>
      </c>
      <c r="O33" s="31">
        <f>IF(K33="",0,K33)</f>
        <v>23</v>
      </c>
      <c r="P33" s="30" t="s">
        <v>78</v>
      </c>
      <c r="Q33" s="131">
        <f>M33*O33</f>
        <v>182137</v>
      </c>
    </row>
    <row r="34" spans="1:17" ht="21" customHeight="1">
      <c r="B34" s="136">
        <v>0.5</v>
      </c>
      <c r="C34" s="137" t="str">
        <f>IF(AND(C30&lt;=C25,C25&lt;=E30),C25,IF(C30&gt;=C25,C30,""))</f>
        <v/>
      </c>
      <c r="D34" s="30" t="s">
        <v>22</v>
      </c>
      <c r="E34" s="137" t="str">
        <f>IF(C34="","",IF(AND(C25&lt;=E30,E30&lt;=E25),E30,E25))</f>
        <v/>
      </c>
      <c r="K34" s="31" t="str">
        <f>IF(C34="","",IF(NETWORKDAYS(C34,E34)&lt;0,"",NETWORKDAYS(C34,E34)))</f>
        <v/>
      </c>
      <c r="M34" s="140">
        <f>T18</f>
        <v>5910</v>
      </c>
      <c r="N34" s="30" t="s">
        <v>81</v>
      </c>
      <c r="O34" s="31">
        <f>IF(K34="",0,K34)</f>
        <v>0</v>
      </c>
      <c r="P34" s="30" t="s">
        <v>78</v>
      </c>
      <c r="Q34" s="131">
        <f>M34*O34</f>
        <v>0</v>
      </c>
    </row>
    <row r="35" spans="1:17" ht="21" customHeight="1">
      <c r="C35" s="137"/>
    </row>
  </sheetData>
  <mergeCells count="14">
    <mergeCell ref="A14:B14"/>
    <mergeCell ref="A13:B13"/>
    <mergeCell ref="A2:B2"/>
    <mergeCell ref="A12:B12"/>
    <mergeCell ref="A10:B10"/>
    <mergeCell ref="A9:B9"/>
    <mergeCell ref="A8:B8"/>
    <mergeCell ref="A7:B7"/>
    <mergeCell ref="A3:B3"/>
    <mergeCell ref="A18:B18"/>
    <mergeCell ref="A19:B19"/>
    <mergeCell ref="F19:J19"/>
    <mergeCell ref="A17:B17"/>
    <mergeCell ref="A15:B1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T1:CC49"/>
  <sheetViews>
    <sheetView showGridLines="0" showRowColHeaders="0" view="pageBreakPreview" zoomScaleNormal="100" zoomScaleSheetLayoutView="100" workbookViewId="0">
      <selection activeCell="K31" sqref="K31"/>
    </sheetView>
  </sheetViews>
  <sheetFormatPr defaultColWidth="2.375" defaultRowHeight="34.5" customHeight="1"/>
  <cols>
    <col min="1" max="19" width="2.375" style="1"/>
    <col min="20" max="26" width="2.25" style="1" customWidth="1"/>
    <col min="27" max="32" width="2.375" style="1" customWidth="1"/>
    <col min="33" max="37" width="2.375" style="1"/>
    <col min="38" max="38" width="3.625" style="1" bestFit="1" customWidth="1"/>
    <col min="39" max="40" width="2.375" style="1"/>
    <col min="41" max="47" width="3.625" style="1" bestFit="1" customWidth="1"/>
    <col min="48" max="49" width="2.375" style="1"/>
    <col min="50" max="56" width="2.625" style="1" customWidth="1"/>
    <col min="57" max="16384" width="2.375" style="1"/>
  </cols>
  <sheetData>
    <row r="1" spans="20:79" ht="18.75" customHeight="1">
      <c r="V1" s="349" t="s">
        <v>6</v>
      </c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T1" s="350" t="s">
        <v>31</v>
      </c>
      <c r="AU1" s="353" t="s">
        <v>73</v>
      </c>
      <c r="AV1" s="354"/>
      <c r="AW1" s="354"/>
      <c r="AX1" s="355"/>
      <c r="AY1" s="356" t="s">
        <v>17</v>
      </c>
      <c r="AZ1" s="357"/>
      <c r="BA1" s="357"/>
      <c r="BB1" s="357"/>
      <c r="BC1" s="357"/>
      <c r="BD1" s="358"/>
    </row>
    <row r="2" spans="20:79" ht="18.75" customHeight="1"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72"/>
      <c r="AS2" s="19"/>
      <c r="AT2" s="351"/>
      <c r="AU2" s="353" t="s">
        <v>74</v>
      </c>
      <c r="AV2" s="354"/>
      <c r="AW2" s="354"/>
      <c r="AX2" s="355"/>
      <c r="AY2" s="356" t="s">
        <v>17</v>
      </c>
      <c r="AZ2" s="357"/>
      <c r="BA2" s="357"/>
      <c r="BB2" s="357"/>
      <c r="BC2" s="357"/>
      <c r="BD2" s="358"/>
    </row>
    <row r="3" spans="20:79" ht="18.75" customHeight="1">
      <c r="AR3" s="73"/>
      <c r="AS3" s="73"/>
      <c r="AT3" s="352"/>
      <c r="AU3" s="353" t="s">
        <v>72</v>
      </c>
      <c r="AV3" s="354"/>
      <c r="AW3" s="354"/>
      <c r="AX3" s="355"/>
      <c r="AY3" s="356" t="s">
        <v>17</v>
      </c>
      <c r="AZ3" s="357"/>
      <c r="BA3" s="357"/>
      <c r="BB3" s="357"/>
      <c r="BC3" s="357"/>
      <c r="BD3" s="358"/>
      <c r="BN3" s="18"/>
      <c r="BO3" s="18"/>
      <c r="BP3" s="18"/>
      <c r="BQ3" s="18"/>
      <c r="BR3" s="18"/>
      <c r="BS3" s="18"/>
      <c r="BT3" s="5"/>
      <c r="BU3" s="5"/>
      <c r="BV3" s="5"/>
      <c r="BW3" s="5"/>
      <c r="BX3" s="5"/>
      <c r="BY3" s="5"/>
      <c r="BZ3" s="5"/>
      <c r="CA3" s="5"/>
    </row>
    <row r="4" spans="20:79" ht="28.5" customHeight="1">
      <c r="T4" s="346" t="s">
        <v>96</v>
      </c>
      <c r="U4" s="347"/>
      <c r="V4" s="347"/>
      <c r="W4" s="347"/>
      <c r="X4" s="347"/>
      <c r="Y4" s="347"/>
      <c r="Z4" s="348"/>
      <c r="AA4" s="369" t="s">
        <v>98</v>
      </c>
      <c r="AB4" s="370"/>
      <c r="AC4" s="370"/>
      <c r="AD4" s="370"/>
      <c r="AE4" s="370"/>
      <c r="AF4" s="371"/>
      <c r="AG4" s="343" t="s">
        <v>7</v>
      </c>
      <c r="AH4" s="344"/>
      <c r="AI4" s="344"/>
      <c r="AJ4" s="344"/>
      <c r="AK4" s="345"/>
      <c r="AL4" s="370" t="s">
        <v>35</v>
      </c>
      <c r="AM4" s="370"/>
      <c r="AN4" s="370"/>
      <c r="AO4" s="370"/>
      <c r="AP4" s="370"/>
      <c r="AQ4" s="370"/>
      <c r="AR4" s="370"/>
      <c r="AS4" s="370"/>
      <c r="AT4" s="370"/>
      <c r="AU4" s="371"/>
      <c r="AV4" s="343" t="s">
        <v>95</v>
      </c>
      <c r="AW4" s="344"/>
      <c r="AX4" s="344"/>
      <c r="AY4" s="344"/>
      <c r="AZ4" s="344"/>
      <c r="BA4" s="344"/>
      <c r="BB4" s="344"/>
      <c r="BC4" s="344"/>
      <c r="BD4" s="345"/>
    </row>
    <row r="5" spans="20:79" ht="11.25" customHeight="1">
      <c r="T5" s="346" t="s">
        <v>27</v>
      </c>
      <c r="U5" s="347"/>
      <c r="V5" s="347"/>
      <c r="W5" s="347"/>
      <c r="X5" s="347"/>
      <c r="Y5" s="347"/>
      <c r="Z5" s="348"/>
      <c r="AA5" s="337" t="s">
        <v>107</v>
      </c>
      <c r="AB5" s="338"/>
      <c r="AC5" s="338"/>
      <c r="AD5" s="338"/>
      <c r="AE5" s="338"/>
      <c r="AF5" s="339"/>
      <c r="AG5" s="359" t="s">
        <v>23</v>
      </c>
      <c r="AH5" s="360"/>
      <c r="AI5" s="360"/>
      <c r="AJ5" s="360"/>
      <c r="AK5" s="361"/>
      <c r="AL5" s="365">
        <v>3</v>
      </c>
      <c r="AM5" s="367" t="s">
        <v>34</v>
      </c>
      <c r="AN5" s="367" t="s">
        <v>34</v>
      </c>
      <c r="AO5" s="365">
        <v>0</v>
      </c>
      <c r="AP5" s="365">
        <v>1</v>
      </c>
      <c r="AQ5" s="365">
        <v>0</v>
      </c>
      <c r="AR5" s="365">
        <v>1</v>
      </c>
      <c r="AS5" s="365">
        <v>0</v>
      </c>
      <c r="AT5" s="365">
        <v>0</v>
      </c>
      <c r="AU5" s="365">
        <v>1</v>
      </c>
      <c r="AV5" s="372" t="s">
        <v>64</v>
      </c>
      <c r="AW5" s="373"/>
      <c r="AX5" s="374"/>
      <c r="AY5" s="375" t="s">
        <v>20</v>
      </c>
      <c r="AZ5" s="375"/>
      <c r="BA5" s="375" t="s">
        <v>21</v>
      </c>
      <c r="BB5" s="375"/>
      <c r="BC5" s="375" t="s">
        <v>0</v>
      </c>
      <c r="BD5" s="375"/>
    </row>
    <row r="6" spans="20:79" ht="23.25" customHeight="1">
      <c r="T6" s="346"/>
      <c r="U6" s="347"/>
      <c r="V6" s="347"/>
      <c r="W6" s="347"/>
      <c r="X6" s="347"/>
      <c r="Y6" s="347"/>
      <c r="Z6" s="348"/>
      <c r="AA6" s="340"/>
      <c r="AB6" s="341"/>
      <c r="AC6" s="341"/>
      <c r="AD6" s="341"/>
      <c r="AE6" s="341"/>
      <c r="AF6" s="342"/>
      <c r="AG6" s="362"/>
      <c r="AH6" s="363"/>
      <c r="AI6" s="363"/>
      <c r="AJ6" s="363"/>
      <c r="AK6" s="364"/>
      <c r="AL6" s="366"/>
      <c r="AM6" s="368"/>
      <c r="AN6" s="368"/>
      <c r="AO6" s="366"/>
      <c r="AP6" s="366"/>
      <c r="AQ6" s="366"/>
      <c r="AR6" s="366"/>
      <c r="AS6" s="366"/>
      <c r="AT6" s="366"/>
      <c r="AU6" s="366"/>
      <c r="AV6" s="376" t="s">
        <v>63</v>
      </c>
      <c r="AW6" s="377"/>
      <c r="AX6" s="378"/>
      <c r="AY6" s="75" t="s">
        <v>34</v>
      </c>
      <c r="AZ6" s="76" t="s">
        <v>34</v>
      </c>
      <c r="BA6" s="77">
        <v>0</v>
      </c>
      <c r="BB6" s="78">
        <v>1</v>
      </c>
      <c r="BC6" s="77">
        <v>0</v>
      </c>
      <c r="BD6" s="78">
        <v>1</v>
      </c>
    </row>
    <row r="7" spans="20:79" ht="31.5" customHeight="1">
      <c r="T7" s="353" t="s">
        <v>9</v>
      </c>
      <c r="U7" s="354"/>
      <c r="V7" s="354"/>
      <c r="W7" s="354"/>
      <c r="X7" s="354"/>
      <c r="Y7" s="354"/>
      <c r="Z7" s="355"/>
      <c r="AA7" s="370" t="s">
        <v>39</v>
      </c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43" t="s">
        <v>10</v>
      </c>
      <c r="AM7" s="344"/>
      <c r="AN7" s="344"/>
      <c r="AO7" s="345"/>
      <c r="AQ7" s="344" t="s">
        <v>19</v>
      </c>
      <c r="AR7" s="344"/>
      <c r="AS7" s="383" t="s">
        <v>99</v>
      </c>
      <c r="AT7" s="383"/>
      <c r="AU7" s="8" t="s">
        <v>20</v>
      </c>
      <c r="AV7" s="8"/>
      <c r="AW7" s="370">
        <v>4</v>
      </c>
      <c r="AX7" s="370"/>
      <c r="AY7" s="8" t="s">
        <v>21</v>
      </c>
      <c r="AZ7" s="370">
        <v>5</v>
      </c>
      <c r="BA7" s="370"/>
      <c r="BB7" s="8" t="s">
        <v>0</v>
      </c>
      <c r="BD7" s="9"/>
    </row>
    <row r="8" spans="20:79" ht="24.75" customHeight="1">
      <c r="T8" s="359" t="s">
        <v>26</v>
      </c>
      <c r="U8" s="360"/>
      <c r="V8" s="360"/>
      <c r="W8" s="360"/>
      <c r="X8" s="360"/>
      <c r="Y8" s="360"/>
      <c r="Z8" s="361"/>
      <c r="AA8" s="13"/>
      <c r="AB8" s="379" t="s">
        <v>19</v>
      </c>
      <c r="AC8" s="379"/>
      <c r="AD8" s="380" t="s">
        <v>99</v>
      </c>
      <c r="AE8" s="380"/>
      <c r="AF8" s="13" t="s">
        <v>20</v>
      </c>
      <c r="AG8" s="381">
        <v>6</v>
      </c>
      <c r="AH8" s="381"/>
      <c r="AI8" s="13" t="s">
        <v>21</v>
      </c>
      <c r="AJ8" s="381">
        <v>1</v>
      </c>
      <c r="AK8" s="381"/>
      <c r="AL8" s="13" t="s">
        <v>0</v>
      </c>
      <c r="AM8" s="379" t="s">
        <v>22</v>
      </c>
      <c r="AN8" s="379"/>
      <c r="AO8" s="379"/>
      <c r="AP8" s="379"/>
      <c r="AQ8" s="379" t="s">
        <v>19</v>
      </c>
      <c r="AR8" s="379"/>
      <c r="AS8" s="382" t="s">
        <v>102</v>
      </c>
      <c r="AT8" s="382"/>
      <c r="AU8" s="13" t="s">
        <v>20</v>
      </c>
      <c r="AV8" s="13"/>
      <c r="AW8" s="381">
        <v>4</v>
      </c>
      <c r="AX8" s="381"/>
      <c r="AY8" s="13" t="s">
        <v>21</v>
      </c>
      <c r="AZ8" s="381">
        <v>30</v>
      </c>
      <c r="BA8" s="381"/>
      <c r="BB8" s="13" t="s">
        <v>0</v>
      </c>
      <c r="BC8" s="13" t="s">
        <v>24</v>
      </c>
      <c r="BD8" s="14"/>
    </row>
    <row r="9" spans="20:79" ht="24.75" customHeight="1">
      <c r="T9" s="362" t="s">
        <v>45</v>
      </c>
      <c r="U9" s="363"/>
      <c r="V9" s="363"/>
      <c r="W9" s="363"/>
      <c r="X9" s="363"/>
      <c r="Y9" s="363"/>
      <c r="Z9" s="364"/>
      <c r="AA9" s="5"/>
      <c r="AB9" s="193" t="s">
        <v>19</v>
      </c>
      <c r="AC9" s="193"/>
      <c r="AD9" s="387"/>
      <c r="AE9" s="387"/>
      <c r="AF9" s="5" t="s">
        <v>20</v>
      </c>
      <c r="AG9" s="193"/>
      <c r="AH9" s="193"/>
      <c r="AI9" s="5" t="s">
        <v>21</v>
      </c>
      <c r="AJ9" s="193"/>
      <c r="AK9" s="193"/>
      <c r="AL9" s="5" t="s">
        <v>0</v>
      </c>
      <c r="AM9" s="193" t="s">
        <v>22</v>
      </c>
      <c r="AN9" s="193"/>
      <c r="AO9" s="193"/>
      <c r="AP9" s="193"/>
      <c r="AQ9" s="193" t="s">
        <v>19</v>
      </c>
      <c r="AR9" s="193"/>
      <c r="AS9" s="193"/>
      <c r="AT9" s="193"/>
      <c r="AU9" s="5" t="s">
        <v>20</v>
      </c>
      <c r="AV9" s="5"/>
      <c r="AW9" s="193"/>
      <c r="AX9" s="384"/>
      <c r="AY9" s="16" t="s">
        <v>21</v>
      </c>
      <c r="AZ9" s="384"/>
      <c r="BA9" s="384"/>
      <c r="BB9" s="16" t="s">
        <v>0</v>
      </c>
      <c r="BC9" s="16" t="s">
        <v>24</v>
      </c>
      <c r="BD9" s="29"/>
    </row>
    <row r="10" spans="20:79" ht="24.75" customHeight="1">
      <c r="T10" s="385" t="s">
        <v>46</v>
      </c>
      <c r="U10" s="386"/>
      <c r="V10" s="386"/>
      <c r="W10" s="386"/>
      <c r="X10" s="386"/>
      <c r="Y10" s="386"/>
      <c r="Z10" s="386"/>
      <c r="AA10" s="343" t="s">
        <v>19</v>
      </c>
      <c r="AB10" s="344"/>
      <c r="AC10" s="383" t="s">
        <v>99</v>
      </c>
      <c r="AD10" s="383"/>
      <c r="AE10" s="8" t="s">
        <v>20</v>
      </c>
      <c r="AF10" s="370">
        <v>11</v>
      </c>
      <c r="AG10" s="370"/>
      <c r="AH10" s="8" t="s">
        <v>21</v>
      </c>
      <c r="AI10" s="370">
        <v>1</v>
      </c>
      <c r="AJ10" s="370"/>
      <c r="AK10" s="8" t="s">
        <v>37</v>
      </c>
      <c r="AL10" s="8" t="s">
        <v>22</v>
      </c>
      <c r="AM10" s="344" t="s">
        <v>19</v>
      </c>
      <c r="AN10" s="344"/>
      <c r="AO10" s="383" t="s">
        <v>99</v>
      </c>
      <c r="AP10" s="383"/>
      <c r="AQ10" s="8" t="s">
        <v>20</v>
      </c>
      <c r="AR10" s="370">
        <v>11</v>
      </c>
      <c r="AS10" s="370"/>
      <c r="AT10" s="8" t="s">
        <v>21</v>
      </c>
      <c r="AU10" s="370">
        <v>30</v>
      </c>
      <c r="AV10" s="370"/>
      <c r="AW10" s="9" t="s">
        <v>37</v>
      </c>
      <c r="AX10" s="79" t="s">
        <v>101</v>
      </c>
      <c r="AY10" s="79" t="s">
        <v>2</v>
      </c>
      <c r="AZ10" s="79" t="s">
        <v>3</v>
      </c>
      <c r="BA10" s="79" t="s">
        <v>4</v>
      </c>
      <c r="BB10" s="79" t="s">
        <v>5</v>
      </c>
      <c r="BC10" s="79" t="s">
        <v>41</v>
      </c>
      <c r="BD10" s="79" t="s">
        <v>100</v>
      </c>
      <c r="BE10" s="4"/>
      <c r="BK10" s="5"/>
    </row>
    <row r="11" spans="20:79" ht="24.75" customHeight="1">
      <c r="T11" s="410" t="s">
        <v>44</v>
      </c>
      <c r="U11" s="410"/>
      <c r="V11" s="410"/>
      <c r="W11" s="410"/>
      <c r="X11" s="410"/>
      <c r="Y11" s="410"/>
      <c r="Z11" s="410"/>
      <c r="AC11" s="344" t="s">
        <v>60</v>
      </c>
      <c r="AD11" s="344"/>
      <c r="AF11" s="8" t="s">
        <v>61</v>
      </c>
      <c r="AG11" s="370">
        <v>22</v>
      </c>
      <c r="AH11" s="370"/>
      <c r="AI11" s="8" t="s">
        <v>16</v>
      </c>
      <c r="AJ11" s="8"/>
      <c r="AK11" s="357" t="s">
        <v>62</v>
      </c>
      <c r="AL11" s="357"/>
      <c r="AM11" s="357"/>
      <c r="AN11" s="357"/>
      <c r="AO11" s="357"/>
      <c r="AP11" s="411">
        <v>380000</v>
      </c>
      <c r="AQ11" s="411"/>
      <c r="AR11" s="411"/>
      <c r="AS11" s="411"/>
      <c r="AT11" s="411"/>
      <c r="AU11" s="411"/>
      <c r="AV11" s="412" t="s">
        <v>65</v>
      </c>
      <c r="AW11" s="413"/>
      <c r="AX11" s="26" t="s">
        <v>70</v>
      </c>
      <c r="AY11" s="26" t="s">
        <v>70</v>
      </c>
      <c r="AZ11" s="26" t="s">
        <v>70</v>
      </c>
      <c r="BA11" s="26" t="s">
        <v>70</v>
      </c>
      <c r="BB11" s="26" t="s">
        <v>70</v>
      </c>
      <c r="BC11" s="26" t="s">
        <v>70</v>
      </c>
      <c r="BD11" s="26" t="s">
        <v>70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20:79" ht="9.75" customHeight="1">
      <c r="T12" s="359" t="s">
        <v>47</v>
      </c>
      <c r="U12" s="360"/>
      <c r="V12" s="360"/>
      <c r="W12" s="360"/>
      <c r="X12" s="360"/>
      <c r="Y12" s="360"/>
      <c r="Z12" s="361"/>
      <c r="AA12" s="391">
        <v>19</v>
      </c>
      <c r="AB12" s="391"/>
      <c r="AC12" s="391"/>
      <c r="AD12" s="391"/>
      <c r="AE12" s="391"/>
      <c r="AF12" s="394" t="s">
        <v>53</v>
      </c>
      <c r="AG12" s="395"/>
      <c r="AH12" s="359" t="s">
        <v>48</v>
      </c>
      <c r="AI12" s="360"/>
      <c r="AJ12" s="360"/>
      <c r="AK12" s="360"/>
      <c r="AL12" s="360"/>
      <c r="AM12" s="360"/>
      <c r="AN12" s="361"/>
      <c r="AO12" s="398">
        <v>219830</v>
      </c>
      <c r="AP12" s="399"/>
      <c r="AQ12" s="399"/>
      <c r="AR12" s="399"/>
      <c r="AS12" s="399"/>
      <c r="AT12" s="399"/>
      <c r="AU12" s="399"/>
      <c r="AV12" s="404" t="s">
        <v>65</v>
      </c>
      <c r="AW12" s="405"/>
      <c r="AX12" s="414">
        <v>1</v>
      </c>
      <c r="AY12" s="414">
        <v>2</v>
      </c>
      <c r="AZ12" s="414">
        <v>3</v>
      </c>
      <c r="BA12" s="414">
        <v>4</v>
      </c>
      <c r="BB12" s="416">
        <v>5</v>
      </c>
      <c r="BC12" s="416">
        <v>6</v>
      </c>
      <c r="BD12" s="414">
        <v>7</v>
      </c>
      <c r="BN12" s="5"/>
      <c r="BO12" s="18"/>
      <c r="BP12" s="18"/>
      <c r="BQ12" s="18"/>
      <c r="BR12" s="18"/>
      <c r="BS12" s="18"/>
      <c r="BT12" s="18"/>
      <c r="BU12" s="18"/>
      <c r="BV12" s="5"/>
      <c r="BW12" s="5"/>
      <c r="BX12" s="5"/>
      <c r="BY12" s="5"/>
    </row>
    <row r="13" spans="20:79" ht="9.75" customHeight="1">
      <c r="T13" s="388"/>
      <c r="U13" s="389"/>
      <c r="V13" s="389"/>
      <c r="W13" s="389"/>
      <c r="X13" s="389"/>
      <c r="Y13" s="389"/>
      <c r="Z13" s="390"/>
      <c r="AA13" s="392"/>
      <c r="AB13" s="392"/>
      <c r="AC13" s="392"/>
      <c r="AD13" s="392"/>
      <c r="AE13" s="392"/>
      <c r="AF13" s="193"/>
      <c r="AG13" s="194"/>
      <c r="AH13" s="388"/>
      <c r="AI13" s="389"/>
      <c r="AJ13" s="389"/>
      <c r="AK13" s="389"/>
      <c r="AL13" s="389"/>
      <c r="AM13" s="389"/>
      <c r="AN13" s="390"/>
      <c r="AO13" s="400"/>
      <c r="AP13" s="401"/>
      <c r="AQ13" s="401"/>
      <c r="AR13" s="401"/>
      <c r="AS13" s="401"/>
      <c r="AT13" s="401"/>
      <c r="AU13" s="401"/>
      <c r="AV13" s="406"/>
      <c r="AW13" s="407"/>
      <c r="AX13" s="415"/>
      <c r="AY13" s="415"/>
      <c r="AZ13" s="415"/>
      <c r="BA13" s="415"/>
      <c r="BB13" s="417"/>
      <c r="BC13" s="417"/>
      <c r="BD13" s="415"/>
      <c r="BN13" s="5"/>
      <c r="BO13" s="18"/>
      <c r="BP13" s="18"/>
      <c r="BQ13" s="18"/>
      <c r="BR13" s="18"/>
      <c r="BS13" s="18"/>
      <c r="BT13" s="18"/>
      <c r="BU13" s="18"/>
      <c r="BV13" s="5"/>
      <c r="BW13" s="5"/>
      <c r="BX13" s="5"/>
      <c r="BY13" s="5"/>
    </row>
    <row r="14" spans="20:79" ht="9.75" customHeight="1">
      <c r="T14" s="388"/>
      <c r="U14" s="389"/>
      <c r="V14" s="389"/>
      <c r="W14" s="389"/>
      <c r="X14" s="389"/>
      <c r="Y14" s="389"/>
      <c r="Z14" s="390"/>
      <c r="AA14" s="392"/>
      <c r="AB14" s="392"/>
      <c r="AC14" s="392"/>
      <c r="AD14" s="392"/>
      <c r="AE14" s="392"/>
      <c r="AF14" s="193"/>
      <c r="AG14" s="194"/>
      <c r="AH14" s="388"/>
      <c r="AI14" s="389"/>
      <c r="AJ14" s="389"/>
      <c r="AK14" s="389"/>
      <c r="AL14" s="389"/>
      <c r="AM14" s="389"/>
      <c r="AN14" s="390"/>
      <c r="AO14" s="400"/>
      <c r="AP14" s="401"/>
      <c r="AQ14" s="401"/>
      <c r="AR14" s="401"/>
      <c r="AS14" s="401"/>
      <c r="AT14" s="401"/>
      <c r="AU14" s="401"/>
      <c r="AV14" s="406"/>
      <c r="AW14" s="407"/>
      <c r="AX14" s="414">
        <v>8</v>
      </c>
      <c r="AY14" s="414">
        <v>9</v>
      </c>
      <c r="AZ14" s="414">
        <v>10</v>
      </c>
      <c r="BA14" s="414">
        <v>11</v>
      </c>
      <c r="BB14" s="416">
        <v>12</v>
      </c>
      <c r="BC14" s="416">
        <v>13</v>
      </c>
      <c r="BD14" s="414">
        <v>14</v>
      </c>
      <c r="BN14" s="5"/>
      <c r="BO14" s="18"/>
      <c r="BP14" s="18"/>
      <c r="BQ14" s="18"/>
      <c r="BR14" s="18"/>
      <c r="BS14" s="18"/>
      <c r="BT14" s="18"/>
      <c r="BU14" s="18"/>
      <c r="BV14" s="5"/>
      <c r="BW14" s="5"/>
      <c r="BX14" s="5"/>
      <c r="BY14" s="5"/>
    </row>
    <row r="15" spans="20:79" ht="9.75" customHeight="1">
      <c r="T15" s="362"/>
      <c r="U15" s="363"/>
      <c r="V15" s="363"/>
      <c r="W15" s="363"/>
      <c r="X15" s="363"/>
      <c r="Y15" s="363"/>
      <c r="Z15" s="364"/>
      <c r="AA15" s="393"/>
      <c r="AB15" s="393"/>
      <c r="AC15" s="393"/>
      <c r="AD15" s="393"/>
      <c r="AE15" s="393"/>
      <c r="AF15" s="396"/>
      <c r="AG15" s="397"/>
      <c r="AH15" s="362"/>
      <c r="AI15" s="363"/>
      <c r="AJ15" s="363"/>
      <c r="AK15" s="363"/>
      <c r="AL15" s="363"/>
      <c r="AM15" s="363"/>
      <c r="AN15" s="364"/>
      <c r="AO15" s="402"/>
      <c r="AP15" s="403"/>
      <c r="AQ15" s="403"/>
      <c r="AR15" s="403"/>
      <c r="AS15" s="403"/>
      <c r="AT15" s="403"/>
      <c r="AU15" s="403"/>
      <c r="AV15" s="408"/>
      <c r="AW15" s="409"/>
      <c r="AX15" s="415"/>
      <c r="AY15" s="415"/>
      <c r="AZ15" s="415"/>
      <c r="BA15" s="415"/>
      <c r="BB15" s="417"/>
      <c r="BC15" s="417"/>
      <c r="BD15" s="415"/>
      <c r="BN15" s="5"/>
      <c r="BO15" s="18"/>
      <c r="BP15" s="18"/>
      <c r="BQ15" s="18"/>
      <c r="BR15" s="18"/>
      <c r="BS15" s="18"/>
      <c r="BT15" s="18"/>
      <c r="BU15" s="18"/>
      <c r="BV15" s="5"/>
      <c r="BW15" s="5"/>
      <c r="BX15" s="5"/>
      <c r="BY15" s="5"/>
    </row>
    <row r="16" spans="20:79" ht="9.75" customHeight="1">
      <c r="T16" s="359" t="s">
        <v>49</v>
      </c>
      <c r="U16" s="360"/>
      <c r="V16" s="360"/>
      <c r="W16" s="360"/>
      <c r="X16" s="360"/>
      <c r="Y16" s="360"/>
      <c r="Z16" s="361"/>
      <c r="AA16" s="391">
        <v>3</v>
      </c>
      <c r="AB16" s="391"/>
      <c r="AC16" s="391"/>
      <c r="AD16" s="391"/>
      <c r="AE16" s="391"/>
      <c r="AF16" s="394" t="s">
        <v>53</v>
      </c>
      <c r="AG16" s="395"/>
      <c r="AH16" s="359" t="s">
        <v>50</v>
      </c>
      <c r="AI16" s="360"/>
      <c r="AJ16" s="360"/>
      <c r="AK16" s="360"/>
      <c r="AL16" s="360"/>
      <c r="AM16" s="360"/>
      <c r="AN16" s="361"/>
      <c r="AO16" s="399">
        <v>25905</v>
      </c>
      <c r="AP16" s="399"/>
      <c r="AQ16" s="399"/>
      <c r="AR16" s="399"/>
      <c r="AS16" s="399"/>
      <c r="AT16" s="399"/>
      <c r="AU16" s="399"/>
      <c r="AV16" s="404" t="s">
        <v>65</v>
      </c>
      <c r="AW16" s="405"/>
      <c r="AX16" s="414">
        <v>15</v>
      </c>
      <c r="AY16" s="414">
        <v>16</v>
      </c>
      <c r="AZ16" s="414">
        <v>17</v>
      </c>
      <c r="BA16" s="414">
        <v>18</v>
      </c>
      <c r="BB16" s="416">
        <v>19</v>
      </c>
      <c r="BC16" s="416">
        <v>20</v>
      </c>
      <c r="BD16" s="414">
        <v>21</v>
      </c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20:77" ht="9.75" customHeight="1">
      <c r="T17" s="388"/>
      <c r="U17" s="389"/>
      <c r="V17" s="389"/>
      <c r="W17" s="389"/>
      <c r="X17" s="389"/>
      <c r="Y17" s="389"/>
      <c r="Z17" s="390"/>
      <c r="AA17" s="392"/>
      <c r="AB17" s="392"/>
      <c r="AC17" s="392"/>
      <c r="AD17" s="392"/>
      <c r="AE17" s="392"/>
      <c r="AF17" s="193"/>
      <c r="AG17" s="194"/>
      <c r="AH17" s="388"/>
      <c r="AI17" s="389"/>
      <c r="AJ17" s="389"/>
      <c r="AK17" s="389"/>
      <c r="AL17" s="389"/>
      <c r="AM17" s="389"/>
      <c r="AN17" s="390"/>
      <c r="AO17" s="401"/>
      <c r="AP17" s="401"/>
      <c r="AQ17" s="401"/>
      <c r="AR17" s="401"/>
      <c r="AS17" s="401"/>
      <c r="AT17" s="401"/>
      <c r="AU17" s="401"/>
      <c r="AV17" s="406"/>
      <c r="AW17" s="407"/>
      <c r="AX17" s="415"/>
      <c r="AY17" s="415"/>
      <c r="AZ17" s="415"/>
      <c r="BA17" s="415"/>
      <c r="BB17" s="417"/>
      <c r="BC17" s="417"/>
      <c r="BD17" s="41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0:77" ht="9.75" customHeight="1">
      <c r="T18" s="388"/>
      <c r="U18" s="389"/>
      <c r="V18" s="389"/>
      <c r="W18" s="389"/>
      <c r="X18" s="389"/>
      <c r="Y18" s="389"/>
      <c r="Z18" s="390"/>
      <c r="AA18" s="392"/>
      <c r="AB18" s="392"/>
      <c r="AC18" s="392"/>
      <c r="AD18" s="392"/>
      <c r="AE18" s="392"/>
      <c r="AF18" s="193"/>
      <c r="AG18" s="194"/>
      <c r="AH18" s="388"/>
      <c r="AI18" s="389"/>
      <c r="AJ18" s="389"/>
      <c r="AK18" s="389"/>
      <c r="AL18" s="389"/>
      <c r="AM18" s="389"/>
      <c r="AN18" s="390"/>
      <c r="AO18" s="401"/>
      <c r="AP18" s="401"/>
      <c r="AQ18" s="401"/>
      <c r="AR18" s="401"/>
      <c r="AS18" s="401"/>
      <c r="AT18" s="401"/>
      <c r="AU18" s="401"/>
      <c r="AV18" s="406"/>
      <c r="AW18" s="407"/>
      <c r="AX18" s="414">
        <v>22</v>
      </c>
      <c r="AY18" s="414">
        <v>23</v>
      </c>
      <c r="AZ18" s="414">
        <v>24</v>
      </c>
      <c r="BA18" s="414">
        <v>25</v>
      </c>
      <c r="BB18" s="416">
        <v>26</v>
      </c>
      <c r="BC18" s="416">
        <v>27</v>
      </c>
      <c r="BD18" s="426">
        <v>28</v>
      </c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20:77" ht="9.75" customHeight="1">
      <c r="T19" s="362"/>
      <c r="U19" s="363"/>
      <c r="V19" s="363"/>
      <c r="W19" s="363"/>
      <c r="X19" s="363"/>
      <c r="Y19" s="363"/>
      <c r="Z19" s="364"/>
      <c r="AA19" s="393"/>
      <c r="AB19" s="393"/>
      <c r="AC19" s="393"/>
      <c r="AD19" s="393"/>
      <c r="AE19" s="393"/>
      <c r="AF19" s="396"/>
      <c r="AG19" s="397"/>
      <c r="AH19" s="362"/>
      <c r="AI19" s="363"/>
      <c r="AJ19" s="363"/>
      <c r="AK19" s="363"/>
      <c r="AL19" s="363"/>
      <c r="AM19" s="363"/>
      <c r="AN19" s="364"/>
      <c r="AO19" s="403"/>
      <c r="AP19" s="403"/>
      <c r="AQ19" s="403"/>
      <c r="AR19" s="403"/>
      <c r="AS19" s="403"/>
      <c r="AT19" s="403"/>
      <c r="AU19" s="403"/>
      <c r="AV19" s="408"/>
      <c r="AW19" s="409"/>
      <c r="AX19" s="415"/>
      <c r="AY19" s="415"/>
      <c r="AZ19" s="415"/>
      <c r="BA19" s="415"/>
      <c r="BB19" s="417"/>
      <c r="BC19" s="417"/>
      <c r="BD19" s="427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20:77" ht="20.25" customHeight="1">
      <c r="T20" s="353" t="s">
        <v>51</v>
      </c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5"/>
      <c r="AH20" s="394" t="s">
        <v>67</v>
      </c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80">
        <v>29</v>
      </c>
      <c r="AY20" s="80">
        <v>30</v>
      </c>
      <c r="AZ20" s="74">
        <v>31</v>
      </c>
      <c r="BA20" s="418" t="s">
        <v>104</v>
      </c>
      <c r="BB20" s="419"/>
      <c r="BC20" s="419"/>
      <c r="BD20" s="420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20:77" ht="30.75" customHeight="1">
      <c r="T21" s="421" t="s">
        <v>59</v>
      </c>
      <c r="U21" s="192"/>
      <c r="V21" s="192"/>
      <c r="W21" s="192"/>
      <c r="X21" s="192"/>
      <c r="Y21" s="192"/>
      <c r="Z21" s="422"/>
      <c r="AA21" s="423" t="s">
        <v>52</v>
      </c>
      <c r="AB21" s="193"/>
      <c r="AC21" s="193"/>
      <c r="AD21" s="193"/>
      <c r="AE21" s="424"/>
      <c r="AF21" s="425" t="s">
        <v>71</v>
      </c>
      <c r="AG21" s="396"/>
      <c r="AH21" s="344"/>
      <c r="AI21" s="412" t="s">
        <v>66</v>
      </c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3"/>
      <c r="BN21" s="5"/>
      <c r="BO21" s="5"/>
      <c r="BP21" s="17"/>
      <c r="BQ21" s="5"/>
      <c r="BR21" s="5"/>
      <c r="BS21" s="5"/>
      <c r="BT21" s="5"/>
      <c r="BU21" s="5"/>
      <c r="BV21" s="5"/>
      <c r="BW21" s="5"/>
      <c r="BX21" s="5"/>
      <c r="BY21" s="5"/>
    </row>
    <row r="22" spans="20:77" ht="28.5" customHeight="1">
      <c r="T22" s="428" t="s">
        <v>68</v>
      </c>
      <c r="U22" s="429"/>
      <c r="V22" s="429"/>
      <c r="W22" s="429"/>
      <c r="X22" s="429"/>
      <c r="Y22" s="429"/>
      <c r="Z22" s="430"/>
      <c r="AA22" s="434" t="s">
        <v>52</v>
      </c>
      <c r="AB22" s="394"/>
      <c r="AC22" s="394"/>
      <c r="AD22" s="394"/>
      <c r="AE22" s="394"/>
      <c r="AF22" s="435" t="s">
        <v>97</v>
      </c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7"/>
    </row>
    <row r="23" spans="20:77" ht="4.5" customHeight="1">
      <c r="T23" s="431"/>
      <c r="U23" s="432"/>
      <c r="V23" s="432"/>
      <c r="W23" s="432"/>
      <c r="X23" s="432"/>
      <c r="Y23" s="432"/>
      <c r="Z23" s="433"/>
      <c r="AA23" s="91"/>
      <c r="AB23" s="86"/>
      <c r="AC23" s="86"/>
      <c r="AD23" s="86"/>
      <c r="AE23" s="86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8"/>
    </row>
    <row r="24" spans="20:77" ht="15" customHeight="1">
      <c r="T24" s="431"/>
      <c r="U24" s="432"/>
      <c r="V24" s="432"/>
      <c r="W24" s="432"/>
      <c r="X24" s="432"/>
      <c r="Y24" s="432"/>
      <c r="Z24" s="433"/>
      <c r="AA24" s="438" t="s">
        <v>54</v>
      </c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5"/>
      <c r="BB24" s="5"/>
      <c r="BC24" s="5"/>
      <c r="BD24" s="11"/>
    </row>
    <row r="25" spans="20:77" ht="15" customHeight="1">
      <c r="T25" s="431"/>
      <c r="U25" s="432"/>
      <c r="V25" s="432"/>
      <c r="W25" s="432"/>
      <c r="X25" s="432"/>
      <c r="Y25" s="432"/>
      <c r="Z25" s="433"/>
      <c r="AA25" s="24" t="s">
        <v>58</v>
      </c>
      <c r="AB25" s="21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5"/>
      <c r="BB25" s="5"/>
      <c r="BC25" s="5"/>
      <c r="BD25" s="11"/>
    </row>
    <row r="26" spans="20:77" ht="15" customHeight="1">
      <c r="T26" s="431"/>
      <c r="U26" s="432"/>
      <c r="V26" s="432"/>
      <c r="W26" s="432"/>
      <c r="X26" s="432"/>
      <c r="Y26" s="432"/>
      <c r="Z26" s="433"/>
      <c r="AA26" s="24" t="s">
        <v>55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5"/>
      <c r="BB26" s="5"/>
      <c r="BC26" s="5"/>
      <c r="BD26" s="11"/>
    </row>
    <row r="27" spans="20:77" ht="15" customHeight="1">
      <c r="T27" s="431"/>
      <c r="U27" s="432"/>
      <c r="V27" s="432"/>
      <c r="W27" s="432"/>
      <c r="X27" s="432"/>
      <c r="Y27" s="432"/>
      <c r="Z27" s="433"/>
      <c r="AA27" s="24" t="s">
        <v>57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5"/>
      <c r="BB27" s="5"/>
      <c r="BC27" s="5"/>
      <c r="BD27" s="11"/>
      <c r="BK27" s="5"/>
    </row>
    <row r="28" spans="20:77" ht="15" customHeight="1">
      <c r="T28" s="431"/>
      <c r="U28" s="432"/>
      <c r="V28" s="432"/>
      <c r="W28" s="432"/>
      <c r="X28" s="432"/>
      <c r="Y28" s="432"/>
      <c r="Z28" s="433"/>
      <c r="AA28" s="24"/>
      <c r="AB28" s="21" t="s">
        <v>94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5"/>
      <c r="BB28" s="5"/>
      <c r="BC28" s="5"/>
      <c r="BD28" s="11"/>
      <c r="BK28" s="5"/>
    </row>
    <row r="29" spans="20:77" ht="3.75" customHeight="1">
      <c r="T29" s="89"/>
      <c r="U29" s="90"/>
      <c r="V29" s="90"/>
      <c r="W29" s="90"/>
      <c r="X29" s="90"/>
      <c r="Y29" s="90"/>
      <c r="Z29" s="84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5"/>
      <c r="BB29" s="5"/>
      <c r="BC29" s="5"/>
      <c r="BD29" s="11"/>
      <c r="BK29" s="5"/>
    </row>
    <row r="30" spans="20:77" ht="7.5" customHeight="1">
      <c r="T30" s="87"/>
      <c r="U30" s="88"/>
      <c r="V30" s="88"/>
      <c r="W30" s="88"/>
      <c r="X30" s="88"/>
      <c r="Y30" s="88"/>
      <c r="Z30" s="88"/>
      <c r="AA30" s="20"/>
      <c r="AB30" s="2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"/>
      <c r="BB30" s="2"/>
      <c r="BC30" s="2"/>
      <c r="BD30" s="3"/>
    </row>
    <row r="31" spans="20:77" ht="23.25" customHeight="1">
      <c r="T31" s="4"/>
      <c r="U31" s="440" t="s">
        <v>28</v>
      </c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1"/>
    </row>
    <row r="32" spans="20:77" ht="23.25" customHeight="1">
      <c r="T32" s="4"/>
      <c r="U32" s="5"/>
      <c r="V32" s="5" t="s">
        <v>11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1"/>
    </row>
    <row r="33" spans="20:81" ht="24.75" customHeight="1">
      <c r="T33" s="4"/>
      <c r="U33" s="5"/>
      <c r="V33" s="5"/>
      <c r="W33" s="193" t="s">
        <v>19</v>
      </c>
      <c r="X33" s="193"/>
      <c r="Y33" s="441" t="s">
        <v>99</v>
      </c>
      <c r="Z33" s="441"/>
      <c r="AA33" s="5" t="s">
        <v>20</v>
      </c>
      <c r="AB33" s="441">
        <v>12</v>
      </c>
      <c r="AC33" s="441"/>
      <c r="AD33" s="5" t="s">
        <v>21</v>
      </c>
      <c r="AE33" s="441">
        <v>1</v>
      </c>
      <c r="AF33" s="441"/>
      <c r="AG33" s="5" t="s">
        <v>37</v>
      </c>
      <c r="AH33" s="5"/>
      <c r="AI33" s="5"/>
      <c r="AJ33" s="193" t="s">
        <v>69</v>
      </c>
      <c r="AK33" s="193"/>
      <c r="AL33" s="193"/>
      <c r="AM33" s="193"/>
      <c r="AN33" s="442" t="s">
        <v>12</v>
      </c>
      <c r="AO33" s="442"/>
      <c r="AP33" s="5"/>
      <c r="AQ33" s="81" t="s">
        <v>103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1"/>
    </row>
    <row r="34" spans="20:81" ht="24.75" customHeight="1">
      <c r="T34" s="4"/>
      <c r="U34" s="5"/>
      <c r="V34" s="5"/>
      <c r="W34" s="85"/>
      <c r="X34" s="85"/>
      <c r="Y34" s="85"/>
      <c r="Z34" s="85"/>
      <c r="AA34" s="5"/>
      <c r="AB34" s="85"/>
      <c r="AC34" s="85"/>
      <c r="AD34" s="5"/>
      <c r="AE34" s="85"/>
      <c r="AF34" s="85"/>
      <c r="AG34" s="5"/>
      <c r="AH34" s="5"/>
      <c r="AI34" s="5"/>
      <c r="AJ34" s="85"/>
      <c r="AK34" s="85"/>
      <c r="AL34" s="85"/>
      <c r="AM34" s="85"/>
      <c r="AN34" s="442" t="s">
        <v>13</v>
      </c>
      <c r="AO34" s="442"/>
      <c r="AP34" s="5"/>
      <c r="AQ34" s="81" t="s">
        <v>35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82" t="s">
        <v>18</v>
      </c>
      <c r="BC34" s="5"/>
      <c r="BD34" s="11"/>
    </row>
    <row r="35" spans="20:81" ht="9.75" customHeight="1">
      <c r="T35" s="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7"/>
      <c r="AO35" s="7"/>
      <c r="BC35" s="5"/>
      <c r="BD35" s="11"/>
    </row>
    <row r="36" spans="20:81" ht="16.5" customHeight="1">
      <c r="T36" s="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443" t="s">
        <v>29</v>
      </c>
      <c r="AU36" s="444"/>
      <c r="AV36" s="444"/>
      <c r="AW36" s="444"/>
      <c r="AX36" s="444"/>
      <c r="AY36" s="444"/>
      <c r="AZ36" s="444"/>
      <c r="BA36" s="444"/>
      <c r="BB36" s="444"/>
      <c r="BC36" s="444"/>
      <c r="BD36" s="445"/>
    </row>
    <row r="37" spans="20:81" ht="17.25" customHeight="1">
      <c r="T37" s="4"/>
      <c r="U37" s="5" t="s">
        <v>14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343" t="s">
        <v>19</v>
      </c>
      <c r="AU37" s="344"/>
      <c r="AV37" s="446" t="s">
        <v>99</v>
      </c>
      <c r="AW37" s="446"/>
      <c r="AX37" s="8" t="s">
        <v>20</v>
      </c>
      <c r="AY37" s="446">
        <v>12</v>
      </c>
      <c r="AZ37" s="446"/>
      <c r="BA37" s="8" t="s">
        <v>21</v>
      </c>
      <c r="BB37" s="446">
        <v>1</v>
      </c>
      <c r="BC37" s="446"/>
      <c r="BD37" s="9" t="s">
        <v>37</v>
      </c>
    </row>
    <row r="38" spans="20:81" ht="11.25" customHeight="1">
      <c r="T38" s="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3"/>
    </row>
    <row r="39" spans="20:81" ht="27.75" customHeight="1">
      <c r="T39" s="4"/>
      <c r="U39" s="5"/>
      <c r="V39" s="5"/>
      <c r="W39" s="193" t="s">
        <v>19</v>
      </c>
      <c r="X39" s="193"/>
      <c r="Y39" s="441" t="s">
        <v>99</v>
      </c>
      <c r="Z39" s="441"/>
      <c r="AA39" s="5" t="s">
        <v>20</v>
      </c>
      <c r="AB39" s="441">
        <v>12</v>
      </c>
      <c r="AC39" s="441"/>
      <c r="AD39" s="5" t="s">
        <v>21</v>
      </c>
      <c r="AE39" s="441">
        <v>1</v>
      </c>
      <c r="AF39" s="441"/>
      <c r="AG39" s="5" t="s">
        <v>37</v>
      </c>
      <c r="AH39" s="5"/>
      <c r="AI39" s="5"/>
      <c r="AK39" s="5"/>
      <c r="AL39" s="442" t="s">
        <v>8</v>
      </c>
      <c r="AM39" s="442"/>
      <c r="AN39" s="442"/>
      <c r="AO39" s="442"/>
      <c r="AP39" s="5"/>
      <c r="AQ39" s="81" t="s">
        <v>105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1"/>
      <c r="CC39" s="5"/>
    </row>
    <row r="40" spans="20:81" ht="27.75" customHeight="1">
      <c r="T40" s="4"/>
      <c r="U40" s="5"/>
      <c r="V40" s="5"/>
      <c r="W40" s="85"/>
      <c r="X40" s="85"/>
      <c r="Y40" s="85"/>
      <c r="Z40" s="85"/>
      <c r="AA40" s="5"/>
      <c r="AB40" s="85"/>
      <c r="AC40" s="85"/>
      <c r="AD40" s="5"/>
      <c r="AE40" s="85"/>
      <c r="AF40" s="85"/>
      <c r="AG40" s="5"/>
      <c r="AH40" s="5"/>
      <c r="AI40" s="5"/>
      <c r="AK40" s="5"/>
      <c r="AL40" s="442" t="s">
        <v>25</v>
      </c>
      <c r="AM40" s="442"/>
      <c r="AN40" s="442"/>
      <c r="AO40" s="442"/>
      <c r="AP40" s="5"/>
      <c r="AQ40" s="81" t="s">
        <v>40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83" t="s">
        <v>15</v>
      </c>
      <c r="BC40" s="5"/>
      <c r="BD40" s="11"/>
      <c r="CC40" s="5"/>
    </row>
    <row r="41" spans="20:81" ht="16.5" customHeight="1">
      <c r="T41" s="6"/>
      <c r="U41" s="7"/>
      <c r="V41" s="7"/>
      <c r="W41" s="5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0"/>
      <c r="BM41" s="5"/>
    </row>
    <row r="42" spans="20:81" ht="5.25" customHeight="1">
      <c r="T42" s="2"/>
      <c r="W42" s="2"/>
    </row>
    <row r="43" spans="20:81" ht="14.25" customHeight="1">
      <c r="T43" s="15" t="s">
        <v>30</v>
      </c>
      <c r="V43" s="15"/>
      <c r="W43" s="15"/>
      <c r="X43" s="15"/>
    </row>
    <row r="44" spans="20:81" ht="14.25" customHeight="1">
      <c r="U44" s="15" t="s">
        <v>32</v>
      </c>
      <c r="V44" s="15"/>
      <c r="W44" s="15"/>
      <c r="X44" s="15"/>
    </row>
    <row r="45" spans="20:81" ht="14.25" customHeight="1">
      <c r="T45" s="15" t="s">
        <v>33</v>
      </c>
      <c r="V45" s="15"/>
      <c r="W45" s="15"/>
      <c r="X45" s="15"/>
    </row>
    <row r="46" spans="20:81" ht="14.25" customHeight="1">
      <c r="U46" s="15" t="s">
        <v>56</v>
      </c>
      <c r="V46" s="15"/>
      <c r="W46" s="15"/>
      <c r="X46" s="15"/>
    </row>
    <row r="47" spans="20:81" ht="14.25" customHeight="1">
      <c r="U47" s="15" t="s">
        <v>38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0:81" ht="14.25" customHeight="1">
      <c r="U48" s="15" t="s">
        <v>36</v>
      </c>
      <c r="V48" s="15"/>
      <c r="W48" s="15"/>
      <c r="X48" s="15"/>
    </row>
    <row r="49" ht="12.75" customHeight="1"/>
  </sheetData>
  <sheetProtection sheet="1" objects="1" scenarios="1"/>
  <mergeCells count="143">
    <mergeCell ref="W39:X39"/>
    <mergeCell ref="Y39:Z39"/>
    <mergeCell ref="AB39:AC39"/>
    <mergeCell ref="AE39:AF39"/>
    <mergeCell ref="AL39:AO39"/>
    <mergeCell ref="AL40:AO40"/>
    <mergeCell ref="AN33:AO33"/>
    <mergeCell ref="AN34:AO34"/>
    <mergeCell ref="AT36:BD36"/>
    <mergeCell ref="AT37:AU37"/>
    <mergeCell ref="AV37:AW37"/>
    <mergeCell ref="AY37:AZ37"/>
    <mergeCell ref="BB37:BC37"/>
    <mergeCell ref="T22:Z28"/>
    <mergeCell ref="AA22:AE22"/>
    <mergeCell ref="AF22:BD22"/>
    <mergeCell ref="AA24:AZ24"/>
    <mergeCell ref="U31:AG31"/>
    <mergeCell ref="W33:X33"/>
    <mergeCell ref="Y33:Z33"/>
    <mergeCell ref="AB33:AC33"/>
    <mergeCell ref="AE33:AF33"/>
    <mergeCell ref="AJ33:AM33"/>
    <mergeCell ref="T20:AG20"/>
    <mergeCell ref="AH20:AW20"/>
    <mergeCell ref="BA20:BD20"/>
    <mergeCell ref="T21:Z21"/>
    <mergeCell ref="AA21:AE21"/>
    <mergeCell ref="AF21:AH21"/>
    <mergeCell ref="AI21:BD21"/>
    <mergeCell ref="BD16:BD17"/>
    <mergeCell ref="AX18:AX19"/>
    <mergeCell ref="AY18:AY19"/>
    <mergeCell ref="AZ18:AZ19"/>
    <mergeCell ref="BA18:BA19"/>
    <mergeCell ref="BB18:BB19"/>
    <mergeCell ref="BC18:BC19"/>
    <mergeCell ref="BD18:BD19"/>
    <mergeCell ref="AX16:AX17"/>
    <mergeCell ref="AY16:AY17"/>
    <mergeCell ref="AZ16:AZ17"/>
    <mergeCell ref="BA16:BA17"/>
    <mergeCell ref="BB16:BB17"/>
    <mergeCell ref="BC16:BC17"/>
    <mergeCell ref="T16:Z19"/>
    <mergeCell ref="AA16:AE19"/>
    <mergeCell ref="AF16:AG19"/>
    <mergeCell ref="AH16:AN19"/>
    <mergeCell ref="AO16:AU19"/>
    <mergeCell ref="AV16:AW19"/>
    <mergeCell ref="BD12:BD13"/>
    <mergeCell ref="AX14:AX15"/>
    <mergeCell ref="AY14:AY15"/>
    <mergeCell ref="AZ14:AZ15"/>
    <mergeCell ref="BA14:BA15"/>
    <mergeCell ref="BB14:BB15"/>
    <mergeCell ref="BC14:BC15"/>
    <mergeCell ref="BD14:BD15"/>
    <mergeCell ref="AX12:AX13"/>
    <mergeCell ref="AY12:AY13"/>
    <mergeCell ref="AZ12:AZ13"/>
    <mergeCell ref="BA12:BA13"/>
    <mergeCell ref="BB12:BB13"/>
    <mergeCell ref="BC12:BC13"/>
    <mergeCell ref="T12:Z15"/>
    <mergeCell ref="AA12:AE15"/>
    <mergeCell ref="AF12:AG15"/>
    <mergeCell ref="AH12:AN15"/>
    <mergeCell ref="AO12:AU15"/>
    <mergeCell ref="AV12:AW15"/>
    <mergeCell ref="T11:Z11"/>
    <mergeCell ref="AC11:AD11"/>
    <mergeCell ref="AG11:AH11"/>
    <mergeCell ref="AK11:AO11"/>
    <mergeCell ref="AP11:AU11"/>
    <mergeCell ref="AV11:AW11"/>
    <mergeCell ref="AZ9:BA9"/>
    <mergeCell ref="T10:Z10"/>
    <mergeCell ref="AA10:AB10"/>
    <mergeCell ref="AC10:AD10"/>
    <mergeCell ref="AF10:AG10"/>
    <mergeCell ref="AI10:AJ10"/>
    <mergeCell ref="AM10:AN10"/>
    <mergeCell ref="AO10:AP10"/>
    <mergeCell ref="AR10:AS10"/>
    <mergeCell ref="AU10:AV10"/>
    <mergeCell ref="T9:Z9"/>
    <mergeCell ref="AB9:AC9"/>
    <mergeCell ref="AD9:AE9"/>
    <mergeCell ref="AG9:AH9"/>
    <mergeCell ref="AJ9:AK9"/>
    <mergeCell ref="AM9:AP9"/>
    <mergeCell ref="AQ9:AR9"/>
    <mergeCell ref="AS9:AT9"/>
    <mergeCell ref="AW9:AX9"/>
    <mergeCell ref="AV6:AX6"/>
    <mergeCell ref="AO5:AO6"/>
    <mergeCell ref="AP5:AP6"/>
    <mergeCell ref="AQ5:AQ6"/>
    <mergeCell ref="AR5:AR6"/>
    <mergeCell ref="AS5:AS6"/>
    <mergeCell ref="AT5:AT6"/>
    <mergeCell ref="AZ7:BA7"/>
    <mergeCell ref="T8:Z8"/>
    <mergeCell ref="AB8:AC8"/>
    <mergeCell ref="AD8:AE8"/>
    <mergeCell ref="AG8:AH8"/>
    <mergeCell ref="AJ8:AK8"/>
    <mergeCell ref="AM8:AP8"/>
    <mergeCell ref="AQ8:AR8"/>
    <mergeCell ref="AS8:AT8"/>
    <mergeCell ref="AW8:AX8"/>
    <mergeCell ref="T7:Z7"/>
    <mergeCell ref="AA7:AK7"/>
    <mergeCell ref="AL7:AO7"/>
    <mergeCell ref="AQ7:AR7"/>
    <mergeCell ref="AS7:AT7"/>
    <mergeCell ref="AW7:AX7"/>
    <mergeCell ref="AZ8:BA8"/>
    <mergeCell ref="AA5:AF6"/>
    <mergeCell ref="AV4:BD4"/>
    <mergeCell ref="T5:Z6"/>
    <mergeCell ref="V1:AQ2"/>
    <mergeCell ref="AT1:AT3"/>
    <mergeCell ref="AU1:AX1"/>
    <mergeCell ref="AY1:BD1"/>
    <mergeCell ref="AU2:AX2"/>
    <mergeCell ref="AY2:BD2"/>
    <mergeCell ref="AU3:AX3"/>
    <mergeCell ref="AY3:BD3"/>
    <mergeCell ref="AG5:AK6"/>
    <mergeCell ref="AL5:AL6"/>
    <mergeCell ref="AM5:AM6"/>
    <mergeCell ref="AN5:AN6"/>
    <mergeCell ref="T4:Z4"/>
    <mergeCell ref="AA4:AF4"/>
    <mergeCell ref="AG4:AK4"/>
    <mergeCell ref="AL4:AU4"/>
    <mergeCell ref="AU5:AU6"/>
    <mergeCell ref="AV5:AX5"/>
    <mergeCell ref="AY5:AZ5"/>
    <mergeCell ref="BA5:BB5"/>
    <mergeCell ref="BC5:BD5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AA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Q1:BZ49"/>
  <sheetViews>
    <sheetView showGridLines="0" showRowColHeaders="0" view="pageBreakPreview" topLeftCell="F7" zoomScaleNormal="100" zoomScaleSheetLayoutView="100" workbookViewId="0">
      <selection activeCell="AA40" sqref="AA40"/>
    </sheetView>
  </sheetViews>
  <sheetFormatPr defaultColWidth="2.375" defaultRowHeight="34.5" customHeight="1"/>
  <cols>
    <col min="1" max="16" width="2.375" style="1"/>
    <col min="17" max="23" width="2.25" style="1" customWidth="1"/>
    <col min="24" max="29" width="2.375" style="1" customWidth="1"/>
    <col min="30" max="34" width="2.375" style="1"/>
    <col min="35" max="35" width="3.625" style="1" bestFit="1" customWidth="1"/>
    <col min="36" max="37" width="2.375" style="1"/>
    <col min="38" max="44" width="3.625" style="1" bestFit="1" customWidth="1"/>
    <col min="45" max="46" width="2.375" style="1"/>
    <col min="47" max="53" width="2.625" style="1" customWidth="1"/>
    <col min="54" max="16384" width="2.375" style="1"/>
  </cols>
  <sheetData>
    <row r="1" spans="17:76" ht="18.75" customHeight="1">
      <c r="S1" s="349" t="s">
        <v>6</v>
      </c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Q1" s="350" t="s">
        <v>31</v>
      </c>
      <c r="AR1" s="353" t="s">
        <v>73</v>
      </c>
      <c r="AS1" s="354"/>
      <c r="AT1" s="354"/>
      <c r="AU1" s="355"/>
      <c r="AV1" s="356" t="s">
        <v>17</v>
      </c>
      <c r="AW1" s="357"/>
      <c r="AX1" s="357"/>
      <c r="AY1" s="357"/>
      <c r="AZ1" s="357"/>
      <c r="BA1" s="358"/>
    </row>
    <row r="2" spans="17:76" ht="18.75" customHeight="1"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72"/>
      <c r="AP2" s="19"/>
      <c r="AQ2" s="351"/>
      <c r="AR2" s="353" t="s">
        <v>74</v>
      </c>
      <c r="AS2" s="354"/>
      <c r="AT2" s="354"/>
      <c r="AU2" s="355"/>
      <c r="AV2" s="356" t="s">
        <v>17</v>
      </c>
      <c r="AW2" s="357"/>
      <c r="AX2" s="357"/>
      <c r="AY2" s="357"/>
      <c r="AZ2" s="357"/>
      <c r="BA2" s="358"/>
    </row>
    <row r="3" spans="17:76" ht="18.75" customHeight="1">
      <c r="AO3" s="73"/>
      <c r="AP3" s="73"/>
      <c r="AQ3" s="352"/>
      <c r="AR3" s="353" t="s">
        <v>72</v>
      </c>
      <c r="AS3" s="354"/>
      <c r="AT3" s="354"/>
      <c r="AU3" s="355"/>
      <c r="AV3" s="356" t="s">
        <v>17</v>
      </c>
      <c r="AW3" s="357"/>
      <c r="AX3" s="357"/>
      <c r="AY3" s="357"/>
      <c r="AZ3" s="357"/>
      <c r="BA3" s="358"/>
      <c r="BK3" s="18"/>
      <c r="BL3" s="18"/>
      <c r="BM3" s="18"/>
      <c r="BN3" s="18"/>
      <c r="BO3" s="18"/>
      <c r="BP3" s="18"/>
      <c r="BQ3" s="5"/>
      <c r="BR3" s="5"/>
      <c r="BS3" s="5"/>
      <c r="BT3" s="5"/>
      <c r="BU3" s="5"/>
      <c r="BV3" s="5"/>
      <c r="BW3" s="5"/>
      <c r="BX3" s="5"/>
    </row>
    <row r="4" spans="17:76" ht="28.5" customHeight="1">
      <c r="Q4" s="346" t="s">
        <v>96</v>
      </c>
      <c r="R4" s="347"/>
      <c r="S4" s="347"/>
      <c r="T4" s="347"/>
      <c r="U4" s="347"/>
      <c r="V4" s="347"/>
      <c r="W4" s="348"/>
      <c r="X4" s="369" t="s">
        <v>98</v>
      </c>
      <c r="Y4" s="370"/>
      <c r="Z4" s="370"/>
      <c r="AA4" s="370"/>
      <c r="AB4" s="370"/>
      <c r="AC4" s="371"/>
      <c r="AD4" s="343" t="s">
        <v>7</v>
      </c>
      <c r="AE4" s="344"/>
      <c r="AF4" s="344"/>
      <c r="AG4" s="344"/>
      <c r="AH4" s="345"/>
      <c r="AI4" s="370" t="s">
        <v>35</v>
      </c>
      <c r="AJ4" s="370"/>
      <c r="AK4" s="370"/>
      <c r="AL4" s="370"/>
      <c r="AM4" s="370"/>
      <c r="AN4" s="370"/>
      <c r="AO4" s="370"/>
      <c r="AP4" s="370"/>
      <c r="AQ4" s="370"/>
      <c r="AR4" s="371"/>
      <c r="AS4" s="343" t="s">
        <v>95</v>
      </c>
      <c r="AT4" s="344"/>
      <c r="AU4" s="344"/>
      <c r="AV4" s="344"/>
      <c r="AW4" s="344"/>
      <c r="AX4" s="344"/>
      <c r="AY4" s="344"/>
      <c r="AZ4" s="344"/>
      <c r="BA4" s="345"/>
    </row>
    <row r="5" spans="17:76" ht="11.25" customHeight="1">
      <c r="Q5" s="346" t="s">
        <v>27</v>
      </c>
      <c r="R5" s="347"/>
      <c r="S5" s="347"/>
      <c r="T5" s="347"/>
      <c r="U5" s="347"/>
      <c r="V5" s="347"/>
      <c r="W5" s="348"/>
      <c r="X5" s="337" t="s">
        <v>107</v>
      </c>
      <c r="Y5" s="338"/>
      <c r="Z5" s="338"/>
      <c r="AA5" s="338"/>
      <c r="AB5" s="338"/>
      <c r="AC5" s="339"/>
      <c r="AD5" s="359" t="s">
        <v>23</v>
      </c>
      <c r="AE5" s="360"/>
      <c r="AF5" s="360"/>
      <c r="AG5" s="360"/>
      <c r="AH5" s="361"/>
      <c r="AI5" s="365">
        <v>3</v>
      </c>
      <c r="AJ5" s="367" t="s">
        <v>34</v>
      </c>
      <c r="AK5" s="367" t="s">
        <v>34</v>
      </c>
      <c r="AL5" s="365">
        <v>0</v>
      </c>
      <c r="AM5" s="365">
        <v>1</v>
      </c>
      <c r="AN5" s="365">
        <v>0</v>
      </c>
      <c r="AO5" s="365">
        <v>1</v>
      </c>
      <c r="AP5" s="365">
        <v>0</v>
      </c>
      <c r="AQ5" s="365">
        <v>0</v>
      </c>
      <c r="AR5" s="365">
        <v>1</v>
      </c>
      <c r="AS5" s="372" t="s">
        <v>64</v>
      </c>
      <c r="AT5" s="373"/>
      <c r="AU5" s="374"/>
      <c r="AV5" s="375" t="s">
        <v>20</v>
      </c>
      <c r="AW5" s="375"/>
      <c r="AX5" s="375" t="s">
        <v>21</v>
      </c>
      <c r="AY5" s="375"/>
      <c r="AZ5" s="375" t="s">
        <v>0</v>
      </c>
      <c r="BA5" s="375"/>
    </row>
    <row r="6" spans="17:76" ht="23.25" customHeight="1">
      <c r="Q6" s="346"/>
      <c r="R6" s="347"/>
      <c r="S6" s="347"/>
      <c r="T6" s="347"/>
      <c r="U6" s="347"/>
      <c r="V6" s="347"/>
      <c r="W6" s="348"/>
      <c r="X6" s="340"/>
      <c r="Y6" s="341"/>
      <c r="Z6" s="341"/>
      <c r="AA6" s="341"/>
      <c r="AB6" s="341"/>
      <c r="AC6" s="342"/>
      <c r="AD6" s="362"/>
      <c r="AE6" s="363"/>
      <c r="AF6" s="363"/>
      <c r="AG6" s="363"/>
      <c r="AH6" s="364"/>
      <c r="AI6" s="366"/>
      <c r="AJ6" s="368"/>
      <c r="AK6" s="368"/>
      <c r="AL6" s="366"/>
      <c r="AM6" s="366"/>
      <c r="AN6" s="366"/>
      <c r="AO6" s="366"/>
      <c r="AP6" s="366"/>
      <c r="AQ6" s="366"/>
      <c r="AR6" s="366"/>
      <c r="AS6" s="376" t="s">
        <v>63</v>
      </c>
      <c r="AT6" s="377"/>
      <c r="AU6" s="378"/>
      <c r="AV6" s="75" t="s">
        <v>34</v>
      </c>
      <c r="AW6" s="76" t="s">
        <v>34</v>
      </c>
      <c r="AX6" s="77">
        <v>0</v>
      </c>
      <c r="AY6" s="78">
        <v>1</v>
      </c>
      <c r="AZ6" s="77">
        <v>0</v>
      </c>
      <c r="BA6" s="78">
        <v>1</v>
      </c>
    </row>
    <row r="7" spans="17:76" ht="31.5" customHeight="1">
      <c r="Q7" s="353" t="s">
        <v>9</v>
      </c>
      <c r="R7" s="354"/>
      <c r="S7" s="354"/>
      <c r="T7" s="354"/>
      <c r="U7" s="354"/>
      <c r="V7" s="354"/>
      <c r="W7" s="355"/>
      <c r="X7" s="370" t="s">
        <v>39</v>
      </c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43" t="s">
        <v>10</v>
      </c>
      <c r="AJ7" s="344"/>
      <c r="AK7" s="344"/>
      <c r="AL7" s="345"/>
      <c r="AN7" s="344" t="s">
        <v>19</v>
      </c>
      <c r="AO7" s="344"/>
      <c r="AP7" s="383" t="s">
        <v>99</v>
      </c>
      <c r="AQ7" s="383"/>
      <c r="AR7" s="8" t="s">
        <v>20</v>
      </c>
      <c r="AS7" s="8"/>
      <c r="AT7" s="370">
        <v>4</v>
      </c>
      <c r="AU7" s="370"/>
      <c r="AV7" s="8" t="s">
        <v>21</v>
      </c>
      <c r="AW7" s="370">
        <v>5</v>
      </c>
      <c r="AX7" s="370"/>
      <c r="AY7" s="8" t="s">
        <v>0</v>
      </c>
      <c r="BA7" s="9"/>
    </row>
    <row r="8" spans="17:76" ht="24.75" customHeight="1">
      <c r="Q8" s="359" t="s">
        <v>26</v>
      </c>
      <c r="R8" s="360"/>
      <c r="S8" s="360"/>
      <c r="T8" s="360"/>
      <c r="U8" s="360"/>
      <c r="V8" s="360"/>
      <c r="W8" s="361"/>
      <c r="X8" s="13"/>
      <c r="Y8" s="379" t="s">
        <v>19</v>
      </c>
      <c r="Z8" s="379"/>
      <c r="AA8" s="380" t="s">
        <v>99</v>
      </c>
      <c r="AB8" s="380"/>
      <c r="AC8" s="13" t="s">
        <v>20</v>
      </c>
      <c r="AD8" s="381">
        <v>6</v>
      </c>
      <c r="AE8" s="381"/>
      <c r="AF8" s="13" t="s">
        <v>21</v>
      </c>
      <c r="AG8" s="381">
        <v>1</v>
      </c>
      <c r="AH8" s="381"/>
      <c r="AI8" s="13" t="s">
        <v>0</v>
      </c>
      <c r="AJ8" s="379" t="s">
        <v>22</v>
      </c>
      <c r="AK8" s="379"/>
      <c r="AL8" s="379"/>
      <c r="AM8" s="379"/>
      <c r="AN8" s="379" t="s">
        <v>19</v>
      </c>
      <c r="AO8" s="379"/>
      <c r="AP8" s="382" t="s">
        <v>102</v>
      </c>
      <c r="AQ8" s="382"/>
      <c r="AR8" s="13" t="s">
        <v>20</v>
      </c>
      <c r="AS8" s="13"/>
      <c r="AT8" s="381">
        <v>4</v>
      </c>
      <c r="AU8" s="381"/>
      <c r="AV8" s="13" t="s">
        <v>21</v>
      </c>
      <c r="AW8" s="381">
        <v>30</v>
      </c>
      <c r="AX8" s="381"/>
      <c r="AY8" s="13" t="s">
        <v>0</v>
      </c>
      <c r="AZ8" s="13" t="s">
        <v>24</v>
      </c>
      <c r="BA8" s="14"/>
    </row>
    <row r="9" spans="17:76" ht="24.75" customHeight="1">
      <c r="Q9" s="362" t="s">
        <v>45</v>
      </c>
      <c r="R9" s="363"/>
      <c r="S9" s="363"/>
      <c r="T9" s="363"/>
      <c r="U9" s="363"/>
      <c r="V9" s="363"/>
      <c r="W9" s="364"/>
      <c r="X9" s="5"/>
      <c r="Y9" s="193" t="s">
        <v>19</v>
      </c>
      <c r="Z9" s="193"/>
      <c r="AA9" s="448" t="s">
        <v>99</v>
      </c>
      <c r="AB9" s="448"/>
      <c r="AC9" s="5" t="s">
        <v>20</v>
      </c>
      <c r="AD9" s="449">
        <v>6</v>
      </c>
      <c r="AE9" s="449"/>
      <c r="AF9" s="5" t="s">
        <v>21</v>
      </c>
      <c r="AG9" s="449">
        <v>1</v>
      </c>
      <c r="AH9" s="449"/>
      <c r="AI9" s="5" t="s">
        <v>0</v>
      </c>
      <c r="AJ9" s="193" t="s">
        <v>22</v>
      </c>
      <c r="AK9" s="193"/>
      <c r="AL9" s="193"/>
      <c r="AM9" s="193"/>
      <c r="AN9" s="193" t="s">
        <v>19</v>
      </c>
      <c r="AO9" s="193"/>
      <c r="AP9" s="450" t="s">
        <v>102</v>
      </c>
      <c r="AQ9" s="450"/>
      <c r="AR9" s="5" t="s">
        <v>20</v>
      </c>
      <c r="AS9" s="5"/>
      <c r="AT9" s="449">
        <v>12</v>
      </c>
      <c r="AU9" s="447"/>
      <c r="AV9" s="16" t="s">
        <v>21</v>
      </c>
      <c r="AW9" s="447">
        <v>31</v>
      </c>
      <c r="AX9" s="447"/>
      <c r="AY9" s="16" t="s">
        <v>0</v>
      </c>
      <c r="AZ9" s="16" t="s">
        <v>24</v>
      </c>
      <c r="BA9" s="29"/>
    </row>
    <row r="10" spans="17:76" ht="24.75" customHeight="1">
      <c r="Q10" s="385" t="s">
        <v>46</v>
      </c>
      <c r="R10" s="386"/>
      <c r="S10" s="386"/>
      <c r="T10" s="386"/>
      <c r="U10" s="386"/>
      <c r="V10" s="386"/>
      <c r="W10" s="386"/>
      <c r="X10" s="343" t="s">
        <v>19</v>
      </c>
      <c r="Y10" s="344"/>
      <c r="Z10" s="383" t="s">
        <v>102</v>
      </c>
      <c r="AA10" s="383"/>
      <c r="AB10" s="8" t="s">
        <v>20</v>
      </c>
      <c r="AC10" s="370">
        <v>5</v>
      </c>
      <c r="AD10" s="370"/>
      <c r="AE10" s="8" t="s">
        <v>21</v>
      </c>
      <c r="AF10" s="370">
        <v>1</v>
      </c>
      <c r="AG10" s="370"/>
      <c r="AH10" s="8" t="s">
        <v>37</v>
      </c>
      <c r="AI10" s="8" t="s">
        <v>22</v>
      </c>
      <c r="AJ10" s="344" t="s">
        <v>19</v>
      </c>
      <c r="AK10" s="344"/>
      <c r="AL10" s="383" t="s">
        <v>102</v>
      </c>
      <c r="AM10" s="383"/>
      <c r="AN10" s="8" t="s">
        <v>20</v>
      </c>
      <c r="AO10" s="370">
        <v>5</v>
      </c>
      <c r="AP10" s="370"/>
      <c r="AQ10" s="8" t="s">
        <v>21</v>
      </c>
      <c r="AR10" s="370">
        <v>31</v>
      </c>
      <c r="AS10" s="370"/>
      <c r="AT10" s="9" t="s">
        <v>37</v>
      </c>
      <c r="AU10" s="79" t="s">
        <v>21</v>
      </c>
      <c r="AV10" s="79" t="s">
        <v>1</v>
      </c>
      <c r="AW10" s="79" t="s">
        <v>2</v>
      </c>
      <c r="AX10" s="79" t="s">
        <v>3</v>
      </c>
      <c r="AY10" s="79" t="s">
        <v>4</v>
      </c>
      <c r="AZ10" s="79" t="s">
        <v>5</v>
      </c>
      <c r="BA10" s="79" t="s">
        <v>41</v>
      </c>
      <c r="BB10" s="4"/>
      <c r="BH10" s="5"/>
    </row>
    <row r="11" spans="17:76" ht="24.75" customHeight="1">
      <c r="Q11" s="410" t="s">
        <v>44</v>
      </c>
      <c r="R11" s="410"/>
      <c r="S11" s="410"/>
      <c r="T11" s="410"/>
      <c r="U11" s="410"/>
      <c r="V11" s="410"/>
      <c r="W11" s="410"/>
      <c r="Z11" s="344" t="s">
        <v>60</v>
      </c>
      <c r="AA11" s="344"/>
      <c r="AC11" s="8" t="s">
        <v>61</v>
      </c>
      <c r="AD11" s="370">
        <v>22</v>
      </c>
      <c r="AE11" s="370"/>
      <c r="AF11" s="8" t="s">
        <v>16</v>
      </c>
      <c r="AG11" s="8"/>
      <c r="AH11" s="357" t="s">
        <v>62</v>
      </c>
      <c r="AI11" s="357"/>
      <c r="AJ11" s="357"/>
      <c r="AK11" s="357"/>
      <c r="AL11" s="357"/>
      <c r="AM11" s="411">
        <v>380000</v>
      </c>
      <c r="AN11" s="411"/>
      <c r="AO11" s="411"/>
      <c r="AP11" s="411"/>
      <c r="AQ11" s="411"/>
      <c r="AR11" s="411"/>
      <c r="AS11" s="412" t="s">
        <v>65</v>
      </c>
      <c r="AT11" s="413"/>
      <c r="AU11" s="26" t="s">
        <v>70</v>
      </c>
      <c r="AV11" s="26" t="s">
        <v>70</v>
      </c>
      <c r="AW11" s="26" t="s">
        <v>70</v>
      </c>
      <c r="AX11" s="26" t="s">
        <v>70</v>
      </c>
      <c r="AY11" s="26" t="s">
        <v>70</v>
      </c>
      <c r="AZ11" s="26" t="s">
        <v>70</v>
      </c>
      <c r="BA11" s="26" t="s">
        <v>70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7:76" ht="9.75" customHeight="1">
      <c r="Q12" s="359" t="s">
        <v>47</v>
      </c>
      <c r="R12" s="360"/>
      <c r="S12" s="360"/>
      <c r="T12" s="360"/>
      <c r="U12" s="360"/>
      <c r="V12" s="360"/>
      <c r="W12" s="361"/>
      <c r="X12" s="391"/>
      <c r="Y12" s="391"/>
      <c r="Z12" s="391"/>
      <c r="AA12" s="391"/>
      <c r="AB12" s="391"/>
      <c r="AC12" s="394" t="s">
        <v>53</v>
      </c>
      <c r="AD12" s="395"/>
      <c r="AE12" s="359" t="s">
        <v>48</v>
      </c>
      <c r="AF12" s="360"/>
      <c r="AG12" s="360"/>
      <c r="AH12" s="360"/>
      <c r="AI12" s="360"/>
      <c r="AJ12" s="360"/>
      <c r="AK12" s="361"/>
      <c r="AL12" s="398"/>
      <c r="AM12" s="399"/>
      <c r="AN12" s="399"/>
      <c r="AO12" s="399"/>
      <c r="AP12" s="399"/>
      <c r="AQ12" s="399"/>
      <c r="AR12" s="399"/>
      <c r="AS12" s="404" t="s">
        <v>65</v>
      </c>
      <c r="AT12" s="405"/>
      <c r="AU12" s="426">
        <v>1</v>
      </c>
      <c r="AV12" s="426">
        <v>2</v>
      </c>
      <c r="AW12" s="426">
        <v>3</v>
      </c>
      <c r="AX12" s="426">
        <v>4</v>
      </c>
      <c r="AY12" s="426">
        <v>5</v>
      </c>
      <c r="AZ12" s="416">
        <v>6</v>
      </c>
      <c r="BA12" s="416">
        <v>7</v>
      </c>
      <c r="BK12" s="5"/>
      <c r="BL12" s="18"/>
      <c r="BM12" s="18"/>
      <c r="BN12" s="18"/>
      <c r="BO12" s="18"/>
      <c r="BP12" s="18"/>
      <c r="BQ12" s="18"/>
      <c r="BR12" s="18"/>
      <c r="BS12" s="5"/>
      <c r="BT12" s="5"/>
      <c r="BU12" s="5"/>
      <c r="BV12" s="5"/>
    </row>
    <row r="13" spans="17:76" ht="9.75" customHeight="1">
      <c r="Q13" s="388"/>
      <c r="R13" s="389"/>
      <c r="S13" s="389"/>
      <c r="T13" s="389"/>
      <c r="U13" s="389"/>
      <c r="V13" s="389"/>
      <c r="W13" s="390"/>
      <c r="X13" s="392"/>
      <c r="Y13" s="392"/>
      <c r="Z13" s="392"/>
      <c r="AA13" s="392"/>
      <c r="AB13" s="392"/>
      <c r="AC13" s="193"/>
      <c r="AD13" s="194"/>
      <c r="AE13" s="388"/>
      <c r="AF13" s="389"/>
      <c r="AG13" s="389"/>
      <c r="AH13" s="389"/>
      <c r="AI13" s="389"/>
      <c r="AJ13" s="389"/>
      <c r="AK13" s="390"/>
      <c r="AL13" s="400"/>
      <c r="AM13" s="401"/>
      <c r="AN13" s="401"/>
      <c r="AO13" s="401"/>
      <c r="AP13" s="401"/>
      <c r="AQ13" s="401"/>
      <c r="AR13" s="401"/>
      <c r="AS13" s="406"/>
      <c r="AT13" s="407"/>
      <c r="AU13" s="427"/>
      <c r="AV13" s="427"/>
      <c r="AW13" s="427"/>
      <c r="AX13" s="427"/>
      <c r="AY13" s="427"/>
      <c r="AZ13" s="417"/>
      <c r="BA13" s="417"/>
      <c r="BK13" s="5"/>
      <c r="BL13" s="18"/>
      <c r="BM13" s="18"/>
      <c r="BN13" s="18"/>
      <c r="BO13" s="18"/>
      <c r="BP13" s="18"/>
      <c r="BQ13" s="18"/>
      <c r="BR13" s="18"/>
      <c r="BS13" s="5"/>
      <c r="BT13" s="5"/>
      <c r="BU13" s="5"/>
      <c r="BV13" s="5"/>
    </row>
    <row r="14" spans="17:76" ht="9.75" customHeight="1">
      <c r="Q14" s="388"/>
      <c r="R14" s="389"/>
      <c r="S14" s="389"/>
      <c r="T14" s="389"/>
      <c r="U14" s="389"/>
      <c r="V14" s="389"/>
      <c r="W14" s="390"/>
      <c r="X14" s="392"/>
      <c r="Y14" s="392"/>
      <c r="Z14" s="392"/>
      <c r="AA14" s="392"/>
      <c r="AB14" s="392"/>
      <c r="AC14" s="193"/>
      <c r="AD14" s="194"/>
      <c r="AE14" s="388"/>
      <c r="AF14" s="389"/>
      <c r="AG14" s="389"/>
      <c r="AH14" s="389"/>
      <c r="AI14" s="389"/>
      <c r="AJ14" s="389"/>
      <c r="AK14" s="390"/>
      <c r="AL14" s="400"/>
      <c r="AM14" s="401"/>
      <c r="AN14" s="401"/>
      <c r="AO14" s="401"/>
      <c r="AP14" s="401"/>
      <c r="AQ14" s="401"/>
      <c r="AR14" s="401"/>
      <c r="AS14" s="406"/>
      <c r="AT14" s="407"/>
      <c r="AU14" s="426">
        <v>8</v>
      </c>
      <c r="AV14" s="426">
        <v>9</v>
      </c>
      <c r="AW14" s="426">
        <v>10</v>
      </c>
      <c r="AX14" s="426">
        <v>11</v>
      </c>
      <c r="AY14" s="426">
        <v>12</v>
      </c>
      <c r="AZ14" s="416">
        <v>13</v>
      </c>
      <c r="BA14" s="416">
        <v>14</v>
      </c>
      <c r="BK14" s="5"/>
      <c r="BL14" s="18"/>
      <c r="BM14" s="18"/>
      <c r="BN14" s="18"/>
      <c r="BO14" s="18"/>
      <c r="BP14" s="18"/>
      <c r="BQ14" s="18"/>
      <c r="BR14" s="18"/>
      <c r="BS14" s="5"/>
      <c r="BT14" s="5"/>
      <c r="BU14" s="5"/>
      <c r="BV14" s="5"/>
    </row>
    <row r="15" spans="17:76" ht="9.75" customHeight="1">
      <c r="Q15" s="362"/>
      <c r="R15" s="363"/>
      <c r="S15" s="363"/>
      <c r="T15" s="363"/>
      <c r="U15" s="363"/>
      <c r="V15" s="363"/>
      <c r="W15" s="364"/>
      <c r="X15" s="393"/>
      <c r="Y15" s="393"/>
      <c r="Z15" s="393"/>
      <c r="AA15" s="393"/>
      <c r="AB15" s="393"/>
      <c r="AC15" s="396"/>
      <c r="AD15" s="397"/>
      <c r="AE15" s="362"/>
      <c r="AF15" s="363"/>
      <c r="AG15" s="363"/>
      <c r="AH15" s="363"/>
      <c r="AI15" s="363"/>
      <c r="AJ15" s="363"/>
      <c r="AK15" s="364"/>
      <c r="AL15" s="402"/>
      <c r="AM15" s="403"/>
      <c r="AN15" s="403"/>
      <c r="AO15" s="403"/>
      <c r="AP15" s="403"/>
      <c r="AQ15" s="403"/>
      <c r="AR15" s="403"/>
      <c r="AS15" s="408"/>
      <c r="AT15" s="409"/>
      <c r="AU15" s="427"/>
      <c r="AV15" s="427"/>
      <c r="AW15" s="427"/>
      <c r="AX15" s="427"/>
      <c r="AY15" s="427"/>
      <c r="AZ15" s="417"/>
      <c r="BA15" s="417"/>
      <c r="BK15" s="5"/>
      <c r="BL15" s="18"/>
      <c r="BM15" s="18"/>
      <c r="BN15" s="18"/>
      <c r="BO15" s="18"/>
      <c r="BP15" s="18"/>
      <c r="BQ15" s="18"/>
      <c r="BR15" s="18"/>
      <c r="BS15" s="5"/>
      <c r="BT15" s="5"/>
      <c r="BU15" s="5"/>
      <c r="BV15" s="5"/>
    </row>
    <row r="16" spans="17:76" ht="9.75" customHeight="1">
      <c r="Q16" s="359" t="s">
        <v>49</v>
      </c>
      <c r="R16" s="360"/>
      <c r="S16" s="360"/>
      <c r="T16" s="360"/>
      <c r="U16" s="360"/>
      <c r="V16" s="360"/>
      <c r="W16" s="361"/>
      <c r="X16" s="391">
        <v>23</v>
      </c>
      <c r="Y16" s="391"/>
      <c r="Z16" s="391"/>
      <c r="AA16" s="391"/>
      <c r="AB16" s="391"/>
      <c r="AC16" s="394" t="s">
        <v>53</v>
      </c>
      <c r="AD16" s="395"/>
      <c r="AE16" s="359" t="s">
        <v>50</v>
      </c>
      <c r="AF16" s="360"/>
      <c r="AG16" s="360"/>
      <c r="AH16" s="360"/>
      <c r="AI16" s="360"/>
      <c r="AJ16" s="360"/>
      <c r="AK16" s="361"/>
      <c r="AL16" s="399">
        <v>198605</v>
      </c>
      <c r="AM16" s="399"/>
      <c r="AN16" s="399"/>
      <c r="AO16" s="399"/>
      <c r="AP16" s="399"/>
      <c r="AQ16" s="399"/>
      <c r="AR16" s="399"/>
      <c r="AS16" s="404" t="s">
        <v>65</v>
      </c>
      <c r="AT16" s="405"/>
      <c r="AU16" s="426">
        <v>15</v>
      </c>
      <c r="AV16" s="426">
        <v>16</v>
      </c>
      <c r="AW16" s="426">
        <v>17</v>
      </c>
      <c r="AX16" s="426">
        <v>18</v>
      </c>
      <c r="AY16" s="426">
        <v>19</v>
      </c>
      <c r="AZ16" s="416">
        <v>20</v>
      </c>
      <c r="BA16" s="416">
        <v>21</v>
      </c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7:74" ht="9.75" customHeight="1">
      <c r="Q17" s="388"/>
      <c r="R17" s="389"/>
      <c r="S17" s="389"/>
      <c r="T17" s="389"/>
      <c r="U17" s="389"/>
      <c r="V17" s="389"/>
      <c r="W17" s="390"/>
      <c r="X17" s="392"/>
      <c r="Y17" s="392"/>
      <c r="Z17" s="392"/>
      <c r="AA17" s="392"/>
      <c r="AB17" s="392"/>
      <c r="AC17" s="193"/>
      <c r="AD17" s="194"/>
      <c r="AE17" s="388"/>
      <c r="AF17" s="389"/>
      <c r="AG17" s="389"/>
      <c r="AH17" s="389"/>
      <c r="AI17" s="389"/>
      <c r="AJ17" s="389"/>
      <c r="AK17" s="390"/>
      <c r="AL17" s="401"/>
      <c r="AM17" s="401"/>
      <c r="AN17" s="401"/>
      <c r="AO17" s="401"/>
      <c r="AP17" s="401"/>
      <c r="AQ17" s="401"/>
      <c r="AR17" s="401"/>
      <c r="AS17" s="406"/>
      <c r="AT17" s="407"/>
      <c r="AU17" s="427"/>
      <c r="AV17" s="427"/>
      <c r="AW17" s="427"/>
      <c r="AX17" s="427"/>
      <c r="AY17" s="427"/>
      <c r="AZ17" s="417"/>
      <c r="BA17" s="41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7:74" ht="9.75" customHeight="1">
      <c r="Q18" s="388"/>
      <c r="R18" s="389"/>
      <c r="S18" s="389"/>
      <c r="T18" s="389"/>
      <c r="U18" s="389"/>
      <c r="V18" s="389"/>
      <c r="W18" s="390"/>
      <c r="X18" s="392"/>
      <c r="Y18" s="392"/>
      <c r="Z18" s="392"/>
      <c r="AA18" s="392"/>
      <c r="AB18" s="392"/>
      <c r="AC18" s="193"/>
      <c r="AD18" s="194"/>
      <c r="AE18" s="388"/>
      <c r="AF18" s="389"/>
      <c r="AG18" s="389"/>
      <c r="AH18" s="389"/>
      <c r="AI18" s="389"/>
      <c r="AJ18" s="389"/>
      <c r="AK18" s="390"/>
      <c r="AL18" s="401"/>
      <c r="AM18" s="401"/>
      <c r="AN18" s="401"/>
      <c r="AO18" s="401"/>
      <c r="AP18" s="401"/>
      <c r="AQ18" s="401"/>
      <c r="AR18" s="401"/>
      <c r="AS18" s="406"/>
      <c r="AT18" s="407"/>
      <c r="AU18" s="426">
        <v>22</v>
      </c>
      <c r="AV18" s="426">
        <v>23</v>
      </c>
      <c r="AW18" s="426">
        <v>24</v>
      </c>
      <c r="AX18" s="426">
        <v>25</v>
      </c>
      <c r="AY18" s="426">
        <v>26</v>
      </c>
      <c r="AZ18" s="416">
        <v>27</v>
      </c>
      <c r="BA18" s="416">
        <v>28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7:74" ht="9.75" customHeight="1">
      <c r="Q19" s="362"/>
      <c r="R19" s="363"/>
      <c r="S19" s="363"/>
      <c r="T19" s="363"/>
      <c r="U19" s="363"/>
      <c r="V19" s="363"/>
      <c r="W19" s="364"/>
      <c r="X19" s="393"/>
      <c r="Y19" s="393"/>
      <c r="Z19" s="393"/>
      <c r="AA19" s="393"/>
      <c r="AB19" s="393"/>
      <c r="AC19" s="396"/>
      <c r="AD19" s="397"/>
      <c r="AE19" s="362"/>
      <c r="AF19" s="363"/>
      <c r="AG19" s="363"/>
      <c r="AH19" s="363"/>
      <c r="AI19" s="363"/>
      <c r="AJ19" s="363"/>
      <c r="AK19" s="364"/>
      <c r="AL19" s="403"/>
      <c r="AM19" s="403"/>
      <c r="AN19" s="403"/>
      <c r="AO19" s="403"/>
      <c r="AP19" s="403"/>
      <c r="AQ19" s="403"/>
      <c r="AR19" s="403"/>
      <c r="AS19" s="408"/>
      <c r="AT19" s="409"/>
      <c r="AU19" s="427"/>
      <c r="AV19" s="427"/>
      <c r="AW19" s="427"/>
      <c r="AX19" s="427"/>
      <c r="AY19" s="427"/>
      <c r="AZ19" s="417"/>
      <c r="BA19" s="41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7:74" ht="20.25" customHeight="1">
      <c r="Q20" s="353" t="s">
        <v>51</v>
      </c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5"/>
      <c r="AE20" s="394" t="s">
        <v>67</v>
      </c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80">
        <v>29</v>
      </c>
      <c r="AV20" s="80">
        <v>30</v>
      </c>
      <c r="AW20" s="80">
        <v>31</v>
      </c>
      <c r="AX20" s="418" t="s">
        <v>104</v>
      </c>
      <c r="AY20" s="419"/>
      <c r="AZ20" s="419"/>
      <c r="BA20" s="420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7:74" ht="30.75" customHeight="1">
      <c r="Q21" s="421" t="s">
        <v>59</v>
      </c>
      <c r="R21" s="192"/>
      <c r="S21" s="192"/>
      <c r="T21" s="192"/>
      <c r="U21" s="192"/>
      <c r="V21" s="192"/>
      <c r="W21" s="422"/>
      <c r="X21" s="423" t="s">
        <v>52</v>
      </c>
      <c r="Y21" s="193"/>
      <c r="Z21" s="193"/>
      <c r="AA21" s="193"/>
      <c r="AB21" s="424"/>
      <c r="AC21" s="425" t="s">
        <v>71</v>
      </c>
      <c r="AD21" s="396"/>
      <c r="AE21" s="344"/>
      <c r="AF21" s="412" t="s">
        <v>66</v>
      </c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3"/>
      <c r="BK21" s="5"/>
      <c r="BL21" s="5"/>
      <c r="BM21" s="17"/>
      <c r="BN21" s="5"/>
      <c r="BO21" s="5"/>
      <c r="BP21" s="5"/>
      <c r="BQ21" s="5"/>
      <c r="BR21" s="5"/>
      <c r="BS21" s="5"/>
      <c r="BT21" s="5"/>
      <c r="BU21" s="5"/>
      <c r="BV21" s="5"/>
    </row>
    <row r="22" spans="17:74" ht="28.5" customHeight="1">
      <c r="Q22" s="428" t="s">
        <v>68</v>
      </c>
      <c r="R22" s="429"/>
      <c r="S22" s="429"/>
      <c r="T22" s="429"/>
      <c r="U22" s="429"/>
      <c r="V22" s="429"/>
      <c r="W22" s="430"/>
      <c r="X22" s="434" t="s">
        <v>52</v>
      </c>
      <c r="Y22" s="394"/>
      <c r="Z22" s="394"/>
      <c r="AA22" s="394"/>
      <c r="AB22" s="394"/>
      <c r="AC22" s="435" t="s">
        <v>97</v>
      </c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7"/>
    </row>
    <row r="23" spans="17:74" ht="4.5" customHeight="1">
      <c r="Q23" s="431"/>
      <c r="R23" s="432"/>
      <c r="S23" s="432"/>
      <c r="T23" s="432"/>
      <c r="U23" s="432"/>
      <c r="V23" s="432"/>
      <c r="W23" s="433"/>
      <c r="X23" s="91"/>
      <c r="Y23" s="86"/>
      <c r="Z23" s="86"/>
      <c r="AA23" s="86"/>
      <c r="AB23" s="86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8"/>
    </row>
    <row r="24" spans="17:74" ht="15" customHeight="1">
      <c r="Q24" s="431"/>
      <c r="R24" s="432"/>
      <c r="S24" s="432"/>
      <c r="T24" s="432"/>
      <c r="U24" s="432"/>
      <c r="V24" s="432"/>
      <c r="W24" s="433"/>
      <c r="X24" s="438" t="s">
        <v>54</v>
      </c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5"/>
      <c r="AY24" s="5"/>
      <c r="AZ24" s="5"/>
      <c r="BA24" s="11"/>
    </row>
    <row r="25" spans="17:74" ht="15" customHeight="1">
      <c r="Q25" s="431"/>
      <c r="R25" s="432"/>
      <c r="S25" s="432"/>
      <c r="T25" s="432"/>
      <c r="U25" s="432"/>
      <c r="V25" s="432"/>
      <c r="W25" s="433"/>
      <c r="X25" s="24" t="s">
        <v>58</v>
      </c>
      <c r="Y25" s="21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5"/>
      <c r="AY25" s="5"/>
      <c r="AZ25" s="5"/>
      <c r="BA25" s="11"/>
    </row>
    <row r="26" spans="17:74" ht="15" customHeight="1">
      <c r="Q26" s="431"/>
      <c r="R26" s="432"/>
      <c r="S26" s="432"/>
      <c r="T26" s="432"/>
      <c r="U26" s="432"/>
      <c r="V26" s="432"/>
      <c r="W26" s="433"/>
      <c r="X26" s="24" t="s">
        <v>55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5"/>
      <c r="AY26" s="5"/>
      <c r="AZ26" s="5"/>
      <c r="BA26" s="11"/>
    </row>
    <row r="27" spans="17:74" ht="15" customHeight="1">
      <c r="Q27" s="431"/>
      <c r="R27" s="432"/>
      <c r="S27" s="432"/>
      <c r="T27" s="432"/>
      <c r="U27" s="432"/>
      <c r="V27" s="432"/>
      <c r="W27" s="433"/>
      <c r="X27" s="24" t="s">
        <v>57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5"/>
      <c r="AY27" s="5"/>
      <c r="AZ27" s="5"/>
      <c r="BA27" s="11"/>
      <c r="BH27" s="5"/>
    </row>
    <row r="28" spans="17:74" ht="15" customHeight="1">
      <c r="Q28" s="431"/>
      <c r="R28" s="432"/>
      <c r="S28" s="432"/>
      <c r="T28" s="432"/>
      <c r="U28" s="432"/>
      <c r="V28" s="432"/>
      <c r="W28" s="433"/>
      <c r="X28" s="24"/>
      <c r="Y28" s="21" t="s">
        <v>94</v>
      </c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5"/>
      <c r="AY28" s="5"/>
      <c r="AZ28" s="5"/>
      <c r="BA28" s="11"/>
      <c r="BH28" s="5"/>
    </row>
    <row r="29" spans="17:74" ht="3.75" customHeight="1">
      <c r="Q29" s="89"/>
      <c r="R29" s="90"/>
      <c r="S29" s="90"/>
      <c r="T29" s="90"/>
      <c r="U29" s="90"/>
      <c r="V29" s="90"/>
      <c r="W29" s="84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5"/>
      <c r="AY29" s="5"/>
      <c r="AZ29" s="5"/>
      <c r="BA29" s="11"/>
      <c r="BH29" s="5"/>
    </row>
    <row r="30" spans="17:74" ht="7.5" customHeight="1">
      <c r="Q30" s="87"/>
      <c r="R30" s="88"/>
      <c r="S30" s="88"/>
      <c r="T30" s="88"/>
      <c r="U30" s="88"/>
      <c r="V30" s="88"/>
      <c r="W30" s="88"/>
      <c r="X30" s="20"/>
      <c r="Y30" s="2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"/>
      <c r="AY30" s="2"/>
      <c r="AZ30" s="2"/>
      <c r="BA30" s="3"/>
    </row>
    <row r="31" spans="17:74" ht="23.25" customHeight="1">
      <c r="Q31" s="4"/>
      <c r="R31" s="440" t="s">
        <v>28</v>
      </c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1"/>
    </row>
    <row r="32" spans="17:74" ht="23.25" customHeight="1">
      <c r="Q32" s="4"/>
      <c r="R32" s="5"/>
      <c r="S32" s="5" t="s">
        <v>11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11"/>
    </row>
    <row r="33" spans="17:78" ht="24.75" customHeight="1">
      <c r="Q33" s="4"/>
      <c r="R33" s="5"/>
      <c r="S33" s="5"/>
      <c r="T33" s="193" t="s">
        <v>19</v>
      </c>
      <c r="U33" s="193"/>
      <c r="V33" s="441" t="s">
        <v>102</v>
      </c>
      <c r="W33" s="441"/>
      <c r="X33" s="5" t="s">
        <v>20</v>
      </c>
      <c r="Y33" s="441">
        <v>6</v>
      </c>
      <c r="Z33" s="441"/>
      <c r="AA33" s="5" t="s">
        <v>21</v>
      </c>
      <c r="AB33" s="441">
        <v>1</v>
      </c>
      <c r="AC33" s="441"/>
      <c r="AD33" s="5" t="s">
        <v>37</v>
      </c>
      <c r="AE33" s="5"/>
      <c r="AF33" s="5"/>
      <c r="AG33" s="193" t="s">
        <v>69</v>
      </c>
      <c r="AH33" s="193"/>
      <c r="AI33" s="193"/>
      <c r="AJ33" s="193"/>
      <c r="AK33" s="442" t="s">
        <v>12</v>
      </c>
      <c r="AL33" s="442"/>
      <c r="AM33" s="5"/>
      <c r="AN33" s="81" t="s">
        <v>103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11"/>
    </row>
    <row r="34" spans="17:78" ht="24.75" customHeight="1">
      <c r="Q34" s="4"/>
      <c r="R34" s="5"/>
      <c r="S34" s="5"/>
      <c r="T34" s="85"/>
      <c r="U34" s="85"/>
      <c r="V34" s="85"/>
      <c r="W34" s="85"/>
      <c r="X34" s="5"/>
      <c r="Y34" s="85"/>
      <c r="Z34" s="85"/>
      <c r="AA34" s="5"/>
      <c r="AB34" s="85"/>
      <c r="AC34" s="85"/>
      <c r="AD34" s="5"/>
      <c r="AE34" s="5"/>
      <c r="AF34" s="5"/>
      <c r="AG34" s="85"/>
      <c r="AH34" s="85"/>
      <c r="AI34" s="85"/>
      <c r="AJ34" s="85"/>
      <c r="AK34" s="442" t="s">
        <v>13</v>
      </c>
      <c r="AL34" s="442"/>
      <c r="AM34" s="5"/>
      <c r="AN34" s="81" t="s">
        <v>35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82" t="s">
        <v>18</v>
      </c>
      <c r="AZ34" s="5"/>
      <c r="BA34" s="11"/>
    </row>
    <row r="35" spans="17:78" ht="9.75" customHeight="1"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7"/>
      <c r="AL35" s="7"/>
      <c r="AZ35" s="5"/>
      <c r="BA35" s="11"/>
    </row>
    <row r="36" spans="17:78" ht="16.5" customHeight="1"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443" t="s">
        <v>29</v>
      </c>
      <c r="AR36" s="444"/>
      <c r="AS36" s="444"/>
      <c r="AT36" s="444"/>
      <c r="AU36" s="444"/>
      <c r="AV36" s="444"/>
      <c r="AW36" s="444"/>
      <c r="AX36" s="444"/>
      <c r="AY36" s="444"/>
      <c r="AZ36" s="444"/>
      <c r="BA36" s="445"/>
    </row>
    <row r="37" spans="17:78" ht="17.25" customHeight="1">
      <c r="Q37" s="4"/>
      <c r="R37" s="5" t="s">
        <v>14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43" t="s">
        <v>19</v>
      </c>
      <c r="AR37" s="344"/>
      <c r="AS37" s="446" t="s">
        <v>102</v>
      </c>
      <c r="AT37" s="446"/>
      <c r="AU37" s="8" t="s">
        <v>20</v>
      </c>
      <c r="AV37" s="446">
        <v>6</v>
      </c>
      <c r="AW37" s="446"/>
      <c r="AX37" s="8" t="s">
        <v>21</v>
      </c>
      <c r="AY37" s="446">
        <v>1</v>
      </c>
      <c r="AZ37" s="446"/>
      <c r="BA37" s="9" t="s">
        <v>37</v>
      </c>
    </row>
    <row r="38" spans="17:78" ht="11.25" customHeight="1"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3"/>
    </row>
    <row r="39" spans="17:78" ht="27.75" customHeight="1">
      <c r="Q39" s="4"/>
      <c r="R39" s="5"/>
      <c r="S39" s="5"/>
      <c r="T39" s="193" t="s">
        <v>19</v>
      </c>
      <c r="U39" s="193"/>
      <c r="V39" s="441" t="s">
        <v>102</v>
      </c>
      <c r="W39" s="441"/>
      <c r="X39" s="5" t="s">
        <v>20</v>
      </c>
      <c r="Y39" s="441">
        <v>6</v>
      </c>
      <c r="Z39" s="441"/>
      <c r="AA39" s="5" t="s">
        <v>21</v>
      </c>
      <c r="AB39" s="441">
        <v>1</v>
      </c>
      <c r="AC39" s="441"/>
      <c r="AD39" s="5" t="s">
        <v>37</v>
      </c>
      <c r="AE39" s="5"/>
      <c r="AF39" s="5"/>
      <c r="AH39" s="5"/>
      <c r="AI39" s="442" t="s">
        <v>8</v>
      </c>
      <c r="AJ39" s="442"/>
      <c r="AK39" s="442"/>
      <c r="AL39" s="442"/>
      <c r="AM39" s="5"/>
      <c r="AN39" s="81" t="s">
        <v>105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11"/>
      <c r="BZ39" s="5"/>
    </row>
    <row r="40" spans="17:78" ht="27.75" customHeight="1">
      <c r="Q40" s="4"/>
      <c r="R40" s="5"/>
      <c r="S40" s="5"/>
      <c r="T40" s="85"/>
      <c r="U40" s="85"/>
      <c r="V40" s="85"/>
      <c r="W40" s="85"/>
      <c r="X40" s="5"/>
      <c r="Y40" s="85"/>
      <c r="Z40" s="85"/>
      <c r="AA40" s="5"/>
      <c r="AB40" s="85"/>
      <c r="AC40" s="85"/>
      <c r="AD40" s="5"/>
      <c r="AE40" s="5"/>
      <c r="AF40" s="5"/>
      <c r="AH40" s="5"/>
      <c r="AI40" s="442" t="s">
        <v>25</v>
      </c>
      <c r="AJ40" s="442"/>
      <c r="AK40" s="442"/>
      <c r="AL40" s="442"/>
      <c r="AM40" s="5"/>
      <c r="AN40" s="81" t="s">
        <v>40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83" t="s">
        <v>15</v>
      </c>
      <c r="AZ40" s="5"/>
      <c r="BA40" s="11"/>
      <c r="BZ40" s="5"/>
    </row>
    <row r="41" spans="17:78" ht="16.5" customHeight="1">
      <c r="Q41" s="6"/>
      <c r="R41" s="7"/>
      <c r="S41" s="7"/>
      <c r="T41" s="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"/>
      <c r="BJ41" s="5"/>
    </row>
    <row r="42" spans="17:78" ht="5.25" customHeight="1">
      <c r="Q42" s="2"/>
      <c r="T42" s="2"/>
    </row>
    <row r="43" spans="17:78" ht="14.25" customHeight="1">
      <c r="Q43" s="15" t="s">
        <v>30</v>
      </c>
      <c r="S43" s="15"/>
      <c r="T43" s="15"/>
      <c r="U43" s="15"/>
    </row>
    <row r="44" spans="17:78" ht="14.25" customHeight="1">
      <c r="R44" s="15" t="s">
        <v>32</v>
      </c>
      <c r="S44" s="15"/>
      <c r="T44" s="15"/>
      <c r="U44" s="15"/>
    </row>
    <row r="45" spans="17:78" ht="14.25" customHeight="1">
      <c r="Q45" s="15" t="s">
        <v>33</v>
      </c>
      <c r="S45" s="15"/>
      <c r="T45" s="15"/>
      <c r="U45" s="15"/>
    </row>
    <row r="46" spans="17:78" ht="14.25" customHeight="1">
      <c r="R46" s="15" t="s">
        <v>56</v>
      </c>
      <c r="S46" s="15"/>
      <c r="T46" s="15"/>
      <c r="U46" s="15"/>
    </row>
    <row r="47" spans="17:78" ht="14.25" customHeight="1">
      <c r="R47" s="15" t="s">
        <v>38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7:78" ht="14.25" customHeight="1">
      <c r="R48" s="15" t="s">
        <v>36</v>
      </c>
      <c r="S48" s="15"/>
      <c r="T48" s="15"/>
      <c r="U48" s="15"/>
    </row>
    <row r="49" ht="15.75" customHeight="1"/>
  </sheetData>
  <sheetProtection sheet="1" objects="1" scenarios="1"/>
  <mergeCells count="143">
    <mergeCell ref="T39:U39"/>
    <mergeCell ref="V39:W39"/>
    <mergeCell ref="Y39:Z39"/>
    <mergeCell ref="AB39:AC39"/>
    <mergeCell ref="AI39:AL39"/>
    <mergeCell ref="AI40:AL40"/>
    <mergeCell ref="AK33:AL33"/>
    <mergeCell ref="AK34:AL34"/>
    <mergeCell ref="AQ36:BA36"/>
    <mergeCell ref="AQ37:AR37"/>
    <mergeCell ref="AS37:AT37"/>
    <mergeCell ref="AV37:AW37"/>
    <mergeCell ref="AY37:AZ37"/>
    <mergeCell ref="Q22:W28"/>
    <mergeCell ref="X22:AB22"/>
    <mergeCell ref="AC22:BA22"/>
    <mergeCell ref="X24:AW24"/>
    <mergeCell ref="R31:AD31"/>
    <mergeCell ref="T33:U33"/>
    <mergeCell ref="V33:W33"/>
    <mergeCell ref="Y33:Z33"/>
    <mergeCell ref="AB33:AC33"/>
    <mergeCell ref="AG33:AJ33"/>
    <mergeCell ref="Q20:AD20"/>
    <mergeCell ref="AE20:AT20"/>
    <mergeCell ref="AX20:BA20"/>
    <mergeCell ref="Q21:W21"/>
    <mergeCell ref="X21:AB21"/>
    <mergeCell ref="AC21:AE21"/>
    <mergeCell ref="AF21:BA21"/>
    <mergeCell ref="BA16:BA17"/>
    <mergeCell ref="AU18:AU19"/>
    <mergeCell ref="AV18:AV19"/>
    <mergeCell ref="AW18:AW19"/>
    <mergeCell ref="AX18:AX19"/>
    <mergeCell ref="AY18:AY19"/>
    <mergeCell ref="AZ18:AZ19"/>
    <mergeCell ref="BA18:BA19"/>
    <mergeCell ref="AU16:AU17"/>
    <mergeCell ref="AV16:AV17"/>
    <mergeCell ref="AW16:AW17"/>
    <mergeCell ref="AX16:AX17"/>
    <mergeCell ref="AY16:AY17"/>
    <mergeCell ref="AZ16:AZ17"/>
    <mergeCell ref="Q16:W19"/>
    <mergeCell ref="X16:AB19"/>
    <mergeCell ref="AC16:AD19"/>
    <mergeCell ref="AE16:AK19"/>
    <mergeCell ref="AL16:AR19"/>
    <mergeCell ref="AS16:AT19"/>
    <mergeCell ref="BA12:BA13"/>
    <mergeCell ref="AU14:AU15"/>
    <mergeCell ref="AV14:AV15"/>
    <mergeCell ref="AW14:AW15"/>
    <mergeCell ref="AX14:AX15"/>
    <mergeCell ref="AY14:AY15"/>
    <mergeCell ref="AZ14:AZ15"/>
    <mergeCell ref="BA14:BA15"/>
    <mergeCell ref="AU12:AU13"/>
    <mergeCell ref="AV12:AV13"/>
    <mergeCell ref="AW12:AW13"/>
    <mergeCell ref="AX12:AX13"/>
    <mergeCell ref="AY12:AY13"/>
    <mergeCell ref="AZ12:AZ13"/>
    <mergeCell ref="Q12:W15"/>
    <mergeCell ref="X12:AB15"/>
    <mergeCell ref="AC12:AD15"/>
    <mergeCell ref="AE12:AK15"/>
    <mergeCell ref="AL12:AR15"/>
    <mergeCell ref="AS12:AT15"/>
    <mergeCell ref="Q11:W11"/>
    <mergeCell ref="Z11:AA11"/>
    <mergeCell ref="AD11:AE11"/>
    <mergeCell ref="AH11:AL11"/>
    <mergeCell ref="AM11:AR11"/>
    <mergeCell ref="AS11:AT11"/>
    <mergeCell ref="AW9:AX9"/>
    <mergeCell ref="Q10:W10"/>
    <mergeCell ref="X10:Y10"/>
    <mergeCell ref="Z10:AA10"/>
    <mergeCell ref="AC10:AD10"/>
    <mergeCell ref="AF10:AG10"/>
    <mergeCell ref="AJ10:AK10"/>
    <mergeCell ref="AL10:AM10"/>
    <mergeCell ref="AO10:AP10"/>
    <mergeCell ref="AR10:AS10"/>
    <mergeCell ref="Q9:W9"/>
    <mergeCell ref="Y9:Z9"/>
    <mergeCell ref="AA9:AB9"/>
    <mergeCell ref="AD9:AE9"/>
    <mergeCell ref="AG9:AH9"/>
    <mergeCell ref="AJ9:AM9"/>
    <mergeCell ref="AN9:AO9"/>
    <mergeCell ref="AP9:AQ9"/>
    <mergeCell ref="AT9:AU9"/>
    <mergeCell ref="AS6:AU6"/>
    <mergeCell ref="AL5:AL6"/>
    <mergeCell ref="AM5:AM6"/>
    <mergeCell ref="AN5:AN6"/>
    <mergeCell ref="AO5:AO6"/>
    <mergeCell ref="AP5:AP6"/>
    <mergeCell ref="AQ5:AQ6"/>
    <mergeCell ref="AW7:AX7"/>
    <mergeCell ref="Q8:W8"/>
    <mergeCell ref="Y8:Z8"/>
    <mergeCell ref="AA8:AB8"/>
    <mergeCell ref="AD8:AE8"/>
    <mergeCell ref="AG8:AH8"/>
    <mergeCell ref="AJ8:AM8"/>
    <mergeCell ref="AN8:AO8"/>
    <mergeCell ref="AP8:AQ8"/>
    <mergeCell ref="AT8:AU8"/>
    <mergeCell ref="Q7:W7"/>
    <mergeCell ref="X7:AH7"/>
    <mergeCell ref="AI7:AL7"/>
    <mergeCell ref="AN7:AO7"/>
    <mergeCell ref="AP7:AQ7"/>
    <mergeCell ref="AT7:AU7"/>
    <mergeCell ref="AW8:AX8"/>
    <mergeCell ref="X5:AC6"/>
    <mergeCell ref="AS4:BA4"/>
    <mergeCell ref="Q5:W6"/>
    <mergeCell ref="S1:AN2"/>
    <mergeCell ref="AQ1:AQ3"/>
    <mergeCell ref="AR1:AU1"/>
    <mergeCell ref="AV1:BA1"/>
    <mergeCell ref="AR2:AU2"/>
    <mergeCell ref="AV2:BA2"/>
    <mergeCell ref="AR3:AU3"/>
    <mergeCell ref="AV3:BA3"/>
    <mergeCell ref="AD5:AH6"/>
    <mergeCell ref="AI5:AI6"/>
    <mergeCell ref="AJ5:AJ6"/>
    <mergeCell ref="AK5:AK6"/>
    <mergeCell ref="Q4:W4"/>
    <mergeCell ref="X4:AC4"/>
    <mergeCell ref="AD4:AH4"/>
    <mergeCell ref="AI4:AR4"/>
    <mergeCell ref="AR5:AR6"/>
    <mergeCell ref="AS5:AU5"/>
    <mergeCell ref="AV5:AW5"/>
    <mergeCell ref="AX5:AY5"/>
    <mergeCell ref="AZ5:BA5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X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7"/>
  <sheetViews>
    <sheetView showGridLines="0" showRowColHeaders="0" view="pageBreakPreview" zoomScaleNormal="100" zoomScaleSheetLayoutView="100" workbookViewId="0">
      <selection activeCell="D4" sqref="D4:F4"/>
    </sheetView>
  </sheetViews>
  <sheetFormatPr defaultRowHeight="13.5"/>
  <cols>
    <col min="1" max="1" width="3.625" style="31" customWidth="1"/>
    <col min="2" max="2" width="18.75" style="31" customWidth="1"/>
    <col min="3" max="3" width="3.375" style="31" bestFit="1" customWidth="1"/>
    <col min="4" max="4" width="5.625" style="31" customWidth="1"/>
    <col min="5" max="5" width="9" style="31"/>
    <col min="6" max="6" width="5.75" style="31" customWidth="1"/>
    <col min="7" max="7" width="3.25" style="31" customWidth="1"/>
    <col min="8" max="8" width="13.375" style="31" customWidth="1"/>
    <col min="9" max="9" width="4.25" style="31" customWidth="1"/>
    <col min="10" max="10" width="5.125" style="31" customWidth="1"/>
    <col min="11" max="11" width="5.75" style="31" customWidth="1"/>
    <col min="12" max="12" width="6.625" style="31" customWidth="1"/>
    <col min="13" max="13" width="3.75" style="31" customWidth="1"/>
    <col min="14" max="14" width="4" style="31" customWidth="1"/>
    <col min="15" max="15" width="3.375" style="31" bestFit="1" customWidth="1"/>
    <col min="16" max="16" width="3.5" style="31" customWidth="1"/>
    <col min="17" max="17" width="5" style="31" customWidth="1"/>
    <col min="18" max="18" width="2.875" style="31" customWidth="1"/>
    <col min="19" max="19" width="6.5" style="31" customWidth="1"/>
    <col min="20" max="20" width="4.75" style="31" customWidth="1"/>
    <col min="21" max="21" width="5" style="31" customWidth="1"/>
    <col min="22" max="22" width="4.25" style="31" customWidth="1"/>
    <col min="23" max="23" width="8.375" style="31" customWidth="1"/>
    <col min="24" max="24" width="3.5" style="31" bestFit="1" customWidth="1"/>
    <col min="25" max="16384" width="9" style="31"/>
  </cols>
  <sheetData>
    <row r="1" spans="1:24" ht="30" customHeight="1">
      <c r="A1" s="60"/>
      <c r="B1" s="453" t="s">
        <v>86</v>
      </c>
      <c r="C1" s="453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4" ht="8.25" customHeight="1">
      <c r="A2" s="6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62"/>
    </row>
    <row r="3" spans="1:24" ht="30.75" customHeight="1" thickBot="1">
      <c r="A3" s="61"/>
      <c r="B3" s="65" t="s">
        <v>75</v>
      </c>
      <c r="C3" s="53"/>
      <c r="D3" s="454" t="s">
        <v>76</v>
      </c>
      <c r="E3" s="454"/>
      <c r="F3" s="454"/>
      <c r="G3" s="35"/>
      <c r="H3" s="66" t="s">
        <v>62</v>
      </c>
      <c r="I3" s="54"/>
      <c r="J3" s="455" t="s">
        <v>88</v>
      </c>
      <c r="K3" s="456"/>
      <c r="L3" s="456"/>
      <c r="M3" s="456"/>
      <c r="N3" s="456"/>
      <c r="O3" s="456"/>
      <c r="P3" s="456"/>
      <c r="Q3" s="456"/>
      <c r="R3" s="457"/>
      <c r="S3" s="54"/>
      <c r="T3" s="458" t="s">
        <v>42</v>
      </c>
      <c r="U3" s="459"/>
      <c r="V3" s="59"/>
    </row>
    <row r="4" spans="1:24" ht="30.75" customHeight="1" thickBot="1">
      <c r="A4" s="61"/>
      <c r="B4" s="67">
        <v>42973</v>
      </c>
      <c r="C4" s="55"/>
      <c r="D4" s="460">
        <f>B4+180</f>
        <v>43153</v>
      </c>
      <c r="E4" s="460"/>
      <c r="F4" s="460"/>
      <c r="G4" s="54"/>
      <c r="H4" s="68">
        <v>240000</v>
      </c>
      <c r="I4" s="54"/>
      <c r="J4" s="461">
        <v>42934</v>
      </c>
      <c r="K4" s="462"/>
      <c r="L4" s="462"/>
      <c r="M4" s="64" t="s">
        <v>22</v>
      </c>
      <c r="N4" s="462">
        <v>43113</v>
      </c>
      <c r="O4" s="462"/>
      <c r="P4" s="462"/>
      <c r="Q4" s="462"/>
      <c r="R4" s="463"/>
      <c r="S4" s="54"/>
      <c r="T4" s="464">
        <f>NETWORKDAYS(J4,N4,0)</f>
        <v>129</v>
      </c>
      <c r="U4" s="465"/>
      <c r="V4" s="59"/>
    </row>
    <row r="5" spans="1:24" ht="26.25" customHeight="1" thickBot="1">
      <c r="A5" s="61"/>
      <c r="B5" s="39"/>
      <c r="C5" s="55"/>
      <c r="D5" s="39"/>
      <c r="E5" s="39"/>
      <c r="F5" s="39"/>
      <c r="G5" s="54"/>
      <c r="H5" s="34"/>
      <c r="I5" s="54"/>
      <c r="J5" s="466" t="s">
        <v>87</v>
      </c>
      <c r="K5" s="467"/>
      <c r="L5" s="467"/>
      <c r="M5" s="467"/>
      <c r="N5" s="467"/>
      <c r="O5" s="467"/>
      <c r="P5" s="467"/>
      <c r="Q5" s="467"/>
      <c r="R5" s="468"/>
      <c r="S5" s="54"/>
      <c r="T5" s="458" t="s">
        <v>42</v>
      </c>
      <c r="U5" s="459"/>
      <c r="V5" s="59"/>
    </row>
    <row r="6" spans="1:24" ht="30.75" customHeight="1" thickBot="1">
      <c r="A6" s="61"/>
      <c r="B6" s="39"/>
      <c r="C6" s="55"/>
      <c r="D6" s="39"/>
      <c r="E6" s="39"/>
      <c r="F6" s="39"/>
      <c r="G6" s="54"/>
      <c r="H6" s="34"/>
      <c r="I6" s="54"/>
      <c r="J6" s="461">
        <v>43114</v>
      </c>
      <c r="K6" s="462"/>
      <c r="L6" s="462"/>
      <c r="M6" s="64" t="s">
        <v>22</v>
      </c>
      <c r="N6" s="462">
        <v>43241</v>
      </c>
      <c r="O6" s="462"/>
      <c r="P6" s="462"/>
      <c r="Q6" s="462"/>
      <c r="R6" s="463"/>
      <c r="S6" s="54"/>
      <c r="T6" s="464">
        <f>NETWORKDAYS(J6,N6,0)</f>
        <v>91</v>
      </c>
      <c r="U6" s="465"/>
      <c r="V6" s="59"/>
    </row>
    <row r="7" spans="1:24" ht="20.25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</row>
    <row r="8" spans="1:24" ht="20.25" customHeight="1"/>
    <row r="9" spans="1:24" ht="25.5" customHeight="1">
      <c r="B9" s="37" t="s">
        <v>91</v>
      </c>
      <c r="L9" s="37" t="s">
        <v>92</v>
      </c>
    </row>
    <row r="11" spans="1:24" ht="19.5" customHeight="1">
      <c r="B11" s="40" t="s">
        <v>62</v>
      </c>
      <c r="G11" s="451" t="s">
        <v>79</v>
      </c>
      <c r="H11" s="451"/>
      <c r="L11" s="452" t="s">
        <v>62</v>
      </c>
      <c r="M11" s="452"/>
      <c r="N11" s="452"/>
      <c r="O11" s="452"/>
      <c r="U11" s="452" t="s">
        <v>79</v>
      </c>
      <c r="V11" s="452"/>
      <c r="W11" s="452"/>
    </row>
    <row r="12" spans="1:24" ht="27.75" customHeight="1">
      <c r="B12" s="42">
        <f>H4</f>
        <v>240000</v>
      </c>
      <c r="C12" s="45" t="s">
        <v>17</v>
      </c>
      <c r="D12" s="46" t="s">
        <v>77</v>
      </c>
      <c r="E12" s="47">
        <v>22</v>
      </c>
      <c r="F12" s="46" t="s">
        <v>78</v>
      </c>
      <c r="G12" s="469">
        <f>ROUND(B12/E12,-1)</f>
        <v>10910</v>
      </c>
      <c r="H12" s="469"/>
      <c r="I12" s="45" t="s">
        <v>17</v>
      </c>
      <c r="L12" s="470">
        <f>H4</f>
        <v>240000</v>
      </c>
      <c r="M12" s="470"/>
      <c r="N12" s="470"/>
      <c r="O12" s="470"/>
      <c r="P12" s="45" t="s">
        <v>17</v>
      </c>
      <c r="Q12" s="46" t="s">
        <v>77</v>
      </c>
      <c r="R12" s="471">
        <v>22</v>
      </c>
      <c r="S12" s="471"/>
      <c r="T12" s="46" t="s">
        <v>78</v>
      </c>
      <c r="U12" s="469">
        <f>ROUND(L12/R12,-1)</f>
        <v>10910</v>
      </c>
      <c r="V12" s="469"/>
      <c r="W12" s="469"/>
      <c r="X12" s="45" t="s">
        <v>17</v>
      </c>
    </row>
    <row r="13" spans="1:24" ht="19.5" customHeight="1">
      <c r="B13" s="33"/>
      <c r="C13" s="30"/>
      <c r="D13" s="30"/>
      <c r="E13" s="30"/>
      <c r="F13" s="30"/>
      <c r="G13" s="49" t="s">
        <v>80</v>
      </c>
      <c r="I13" s="30"/>
      <c r="L13" s="33"/>
      <c r="M13" s="33"/>
      <c r="P13" s="30"/>
      <c r="Q13" s="30"/>
      <c r="R13" s="30"/>
      <c r="S13" s="30"/>
      <c r="T13" s="30"/>
      <c r="U13" s="49" t="s">
        <v>80</v>
      </c>
      <c r="X13" s="63"/>
    </row>
    <row r="14" spans="1:24" ht="8.25" customHeight="1">
      <c r="X14" s="63"/>
    </row>
    <row r="15" spans="1:24" ht="19.5" customHeight="1">
      <c r="B15" s="40" t="s">
        <v>79</v>
      </c>
      <c r="G15" s="451" t="s">
        <v>83</v>
      </c>
      <c r="H15" s="451"/>
      <c r="L15" s="452" t="s">
        <v>79</v>
      </c>
      <c r="M15" s="452"/>
      <c r="N15" s="452"/>
      <c r="O15" s="452"/>
      <c r="U15" s="452" t="s">
        <v>83</v>
      </c>
      <c r="V15" s="452"/>
      <c r="W15" s="452"/>
      <c r="X15" s="63"/>
    </row>
    <row r="16" spans="1:24" ht="27.75" customHeight="1">
      <c r="B16" s="41">
        <f>G12</f>
        <v>10910</v>
      </c>
      <c r="C16" s="45" t="s">
        <v>17</v>
      </c>
      <c r="D16" s="46" t="s">
        <v>81</v>
      </c>
      <c r="E16" s="47" t="s">
        <v>82</v>
      </c>
      <c r="F16" s="46" t="s">
        <v>78</v>
      </c>
      <c r="G16" s="469">
        <f>ROUNDDOWN(B16*67/100,0)</f>
        <v>7309</v>
      </c>
      <c r="H16" s="469"/>
      <c r="I16" s="45" t="s">
        <v>17</v>
      </c>
      <c r="L16" s="469">
        <f>U12</f>
        <v>10910</v>
      </c>
      <c r="M16" s="469"/>
      <c r="N16" s="469"/>
      <c r="O16" s="469"/>
      <c r="P16" s="45" t="s">
        <v>17</v>
      </c>
      <c r="Q16" s="46" t="s">
        <v>81</v>
      </c>
      <c r="R16" s="471" t="s">
        <v>89</v>
      </c>
      <c r="S16" s="471"/>
      <c r="T16" s="46" t="s">
        <v>78</v>
      </c>
      <c r="U16" s="469">
        <f>ROUNDDOWN(L16*50/100,0)</f>
        <v>5455</v>
      </c>
      <c r="V16" s="469"/>
      <c r="W16" s="469"/>
      <c r="X16" s="45" t="s">
        <v>17</v>
      </c>
    </row>
    <row r="17" spans="2:24" ht="19.5" customHeight="1">
      <c r="B17" s="34"/>
      <c r="C17" s="30"/>
      <c r="D17" s="30"/>
      <c r="E17" s="30"/>
      <c r="F17" s="30"/>
      <c r="G17" s="49" t="s">
        <v>84</v>
      </c>
      <c r="I17" s="30"/>
      <c r="L17" s="34"/>
      <c r="M17" s="34"/>
      <c r="P17" s="30"/>
      <c r="Q17" s="30"/>
      <c r="R17" s="30"/>
      <c r="S17" s="30"/>
      <c r="T17" s="30"/>
      <c r="U17" s="49" t="s">
        <v>84</v>
      </c>
      <c r="X17" s="63"/>
    </row>
    <row r="18" spans="2:24" ht="6.75" customHeight="1">
      <c r="X18" s="63"/>
    </row>
    <row r="19" spans="2:24" ht="30" customHeight="1">
      <c r="B19" s="32" t="s">
        <v>85</v>
      </c>
      <c r="E19" s="40" t="s">
        <v>42</v>
      </c>
      <c r="G19" s="451" t="s">
        <v>43</v>
      </c>
      <c r="H19" s="451"/>
      <c r="L19" s="473" t="s">
        <v>85</v>
      </c>
      <c r="M19" s="473"/>
      <c r="N19" s="473"/>
      <c r="O19" s="473"/>
      <c r="R19" s="452" t="s">
        <v>42</v>
      </c>
      <c r="S19" s="452"/>
      <c r="T19" s="48"/>
      <c r="U19" s="452" t="s">
        <v>43</v>
      </c>
      <c r="V19" s="452"/>
      <c r="W19" s="452"/>
      <c r="X19" s="63"/>
    </row>
    <row r="20" spans="2:24" ht="27.75" customHeight="1">
      <c r="B20" s="41">
        <f>IF(B24&gt;G16,G16,B24)</f>
        <v>7309</v>
      </c>
      <c r="C20" s="45" t="s">
        <v>17</v>
      </c>
      <c r="D20" s="46" t="s">
        <v>81</v>
      </c>
      <c r="E20" s="44">
        <f>T4</f>
        <v>129</v>
      </c>
      <c r="F20" s="46" t="s">
        <v>78</v>
      </c>
      <c r="G20" s="469">
        <f>B20*E20</f>
        <v>942861</v>
      </c>
      <c r="H20" s="469"/>
      <c r="I20" s="45" t="s">
        <v>17</v>
      </c>
      <c r="L20" s="469">
        <f>IF(L24&gt;U16,U16,L24)</f>
        <v>5455</v>
      </c>
      <c r="M20" s="469"/>
      <c r="N20" s="469"/>
      <c r="O20" s="469"/>
      <c r="P20" s="45" t="s">
        <v>17</v>
      </c>
      <c r="Q20" s="46" t="s">
        <v>81</v>
      </c>
      <c r="R20" s="474">
        <f>T6</f>
        <v>91</v>
      </c>
      <c r="S20" s="474"/>
      <c r="T20" s="46" t="s">
        <v>78</v>
      </c>
      <c r="U20" s="469">
        <f>L20*R20</f>
        <v>496405</v>
      </c>
      <c r="V20" s="469"/>
      <c r="W20" s="469"/>
      <c r="X20" s="45" t="s">
        <v>17</v>
      </c>
    </row>
    <row r="21" spans="2:24" ht="11.25" customHeight="1">
      <c r="C21" s="30"/>
      <c r="D21" s="30"/>
      <c r="E21" s="36"/>
      <c r="F21" s="30"/>
      <c r="G21" s="34"/>
      <c r="H21" s="34"/>
      <c r="I21" s="30"/>
      <c r="L21" s="34"/>
      <c r="M21" s="34"/>
      <c r="N21" s="30"/>
      <c r="O21" s="30"/>
      <c r="P21" s="36"/>
      <c r="Q21" s="30"/>
      <c r="R21" s="30"/>
      <c r="S21" s="34"/>
      <c r="T21" s="30"/>
      <c r="U21" s="30"/>
    </row>
    <row r="22" spans="2:24" ht="18" customHeight="1">
      <c r="B22" s="31" t="s">
        <v>106</v>
      </c>
      <c r="L22" s="31" t="s">
        <v>106</v>
      </c>
    </row>
    <row r="23" spans="2:24" ht="17.25" customHeight="1">
      <c r="B23" s="38" t="s">
        <v>73</v>
      </c>
      <c r="L23" s="475" t="s">
        <v>74</v>
      </c>
      <c r="M23" s="475"/>
      <c r="N23" s="475"/>
      <c r="O23" s="475"/>
    </row>
    <row r="24" spans="2:24" ht="27.75" customHeight="1">
      <c r="B24" s="43">
        <v>12927</v>
      </c>
      <c r="C24" s="50" t="s">
        <v>17</v>
      </c>
      <c r="L24" s="472">
        <v>9647</v>
      </c>
      <c r="M24" s="472"/>
      <c r="N24" s="472"/>
      <c r="O24" s="472"/>
      <c r="P24" s="50" t="s">
        <v>17</v>
      </c>
    </row>
    <row r="25" spans="2:24" ht="27.75" customHeight="1">
      <c r="B25" s="31" t="s">
        <v>90</v>
      </c>
    </row>
    <row r="26" spans="2:24" ht="16.5" customHeight="1"/>
    <row r="27" spans="2:24">
      <c r="E27" s="34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27"/>
  <sheetViews>
    <sheetView showGridLines="0" showRowColHeaders="0" view="pageBreakPreview" zoomScaleNormal="100" zoomScaleSheetLayoutView="100" workbookViewId="0">
      <selection activeCell="G16" sqref="G16:H16"/>
    </sheetView>
  </sheetViews>
  <sheetFormatPr defaultRowHeight="13.5"/>
  <cols>
    <col min="1" max="1" width="3.625" style="31" customWidth="1"/>
    <col min="2" max="2" width="18.75" style="31" customWidth="1"/>
    <col min="3" max="3" width="3.375" style="31" bestFit="1" customWidth="1"/>
    <col min="4" max="4" width="5.625" style="31" customWidth="1"/>
    <col min="5" max="5" width="9" style="31"/>
    <col min="6" max="6" width="5.75" style="31" customWidth="1"/>
    <col min="7" max="7" width="3.25" style="31" customWidth="1"/>
    <col min="8" max="8" width="13.375" style="31" customWidth="1"/>
    <col min="9" max="9" width="4.25" style="31" customWidth="1"/>
    <col min="10" max="10" width="5.125" style="31" customWidth="1"/>
    <col min="11" max="11" width="5.75" style="31" customWidth="1"/>
    <col min="12" max="12" width="8.25" style="31" customWidth="1"/>
    <col min="13" max="13" width="3.75" style="31" customWidth="1"/>
    <col min="14" max="14" width="4" style="31" customWidth="1"/>
    <col min="15" max="15" width="3.375" style="31" bestFit="1" customWidth="1"/>
    <col min="16" max="16" width="3.5" style="31" customWidth="1"/>
    <col min="17" max="17" width="5" style="31" customWidth="1"/>
    <col min="18" max="18" width="2.875" style="31" customWidth="1"/>
    <col min="19" max="19" width="6.5" style="31" customWidth="1"/>
    <col min="20" max="20" width="4.75" style="31" customWidth="1"/>
    <col min="21" max="21" width="5" style="31" customWidth="1"/>
    <col min="22" max="22" width="4.25" style="31" customWidth="1"/>
    <col min="23" max="23" width="8.375" style="31" customWidth="1"/>
    <col min="24" max="24" width="3.5" style="31" customWidth="1"/>
    <col min="25" max="16384" width="9" style="31"/>
  </cols>
  <sheetData>
    <row r="1" spans="1:24" ht="30" customHeight="1">
      <c r="A1" s="60"/>
      <c r="B1" s="453" t="s">
        <v>86</v>
      </c>
      <c r="C1" s="453"/>
      <c r="D1" s="71" t="s">
        <v>93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4" ht="8.25" customHeight="1">
      <c r="A2" s="6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62"/>
    </row>
    <row r="3" spans="1:24" ht="30.75" customHeight="1" thickBot="1">
      <c r="A3" s="61"/>
      <c r="B3" s="65" t="s">
        <v>75</v>
      </c>
      <c r="C3" s="53"/>
      <c r="D3" s="454" t="s">
        <v>76</v>
      </c>
      <c r="E3" s="454"/>
      <c r="F3" s="454"/>
      <c r="G3" s="35"/>
      <c r="H3" s="66" t="s">
        <v>62</v>
      </c>
      <c r="I3" s="54"/>
      <c r="J3" s="455" t="s">
        <v>88</v>
      </c>
      <c r="K3" s="456"/>
      <c r="L3" s="456"/>
      <c r="M3" s="456"/>
      <c r="N3" s="456"/>
      <c r="O3" s="456"/>
      <c r="P3" s="456"/>
      <c r="Q3" s="456"/>
      <c r="R3" s="457"/>
      <c r="S3" s="54"/>
      <c r="T3" s="458" t="s">
        <v>42</v>
      </c>
      <c r="U3" s="459"/>
      <c r="V3" s="59"/>
    </row>
    <row r="4" spans="1:24" ht="30.75" customHeight="1" thickBot="1">
      <c r="A4" s="61"/>
      <c r="B4" s="69">
        <v>42278</v>
      </c>
      <c r="C4" s="55"/>
      <c r="D4" s="476">
        <f>B4+180</f>
        <v>42458</v>
      </c>
      <c r="E4" s="476"/>
      <c r="F4" s="476"/>
      <c r="G4" s="54"/>
      <c r="H4" s="70">
        <v>380000</v>
      </c>
      <c r="I4" s="54"/>
      <c r="J4" s="477">
        <v>42430</v>
      </c>
      <c r="K4" s="478"/>
      <c r="L4" s="478"/>
      <c r="M4" s="64" t="s">
        <v>22</v>
      </c>
      <c r="N4" s="478">
        <v>42457</v>
      </c>
      <c r="O4" s="478"/>
      <c r="P4" s="478"/>
      <c r="Q4" s="478"/>
      <c r="R4" s="479"/>
      <c r="S4" s="54"/>
      <c r="T4" s="464">
        <f>NETWORKDAYS(J4,N4,0)</f>
        <v>20</v>
      </c>
      <c r="U4" s="465"/>
      <c r="V4" s="59"/>
    </row>
    <row r="5" spans="1:24" ht="26.25" customHeight="1" thickBot="1">
      <c r="A5" s="61"/>
      <c r="B5" s="39"/>
      <c r="C5" s="55"/>
      <c r="D5" s="39"/>
      <c r="E5" s="39"/>
      <c r="F5" s="39"/>
      <c r="G5" s="54"/>
      <c r="H5" s="34"/>
      <c r="I5" s="54"/>
      <c r="J5" s="466" t="s">
        <v>87</v>
      </c>
      <c r="K5" s="467"/>
      <c r="L5" s="467"/>
      <c r="M5" s="467"/>
      <c r="N5" s="467"/>
      <c r="O5" s="467"/>
      <c r="P5" s="467"/>
      <c r="Q5" s="467"/>
      <c r="R5" s="468"/>
      <c r="S5" s="54"/>
      <c r="T5" s="458" t="s">
        <v>42</v>
      </c>
      <c r="U5" s="459"/>
      <c r="V5" s="59"/>
    </row>
    <row r="6" spans="1:24" ht="30.75" customHeight="1" thickBot="1">
      <c r="A6" s="61"/>
      <c r="B6" s="39"/>
      <c r="C6" s="55"/>
      <c r="D6" s="39"/>
      <c r="E6" s="39"/>
      <c r="F6" s="39"/>
      <c r="G6" s="54"/>
      <c r="H6" s="34"/>
      <c r="I6" s="54"/>
      <c r="J6" s="477">
        <v>42458</v>
      </c>
      <c r="K6" s="478"/>
      <c r="L6" s="478"/>
      <c r="M6" s="64" t="s">
        <v>22</v>
      </c>
      <c r="N6" s="478">
        <v>42460</v>
      </c>
      <c r="O6" s="478"/>
      <c r="P6" s="478"/>
      <c r="Q6" s="478"/>
      <c r="R6" s="479"/>
      <c r="S6" s="54"/>
      <c r="T6" s="464">
        <f>NETWORKDAYS(J6,N6,0)</f>
        <v>3</v>
      </c>
      <c r="U6" s="465"/>
      <c r="V6" s="59"/>
    </row>
    <row r="7" spans="1:24" ht="20.25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</row>
    <row r="8" spans="1:24" ht="20.25" customHeight="1"/>
    <row r="9" spans="1:24" ht="25.5" customHeight="1">
      <c r="B9" s="37" t="s">
        <v>91</v>
      </c>
      <c r="L9" s="37" t="s">
        <v>92</v>
      </c>
    </row>
    <row r="11" spans="1:24" ht="19.5" customHeight="1">
      <c r="B11" s="40" t="s">
        <v>62</v>
      </c>
      <c r="G11" s="451" t="s">
        <v>79</v>
      </c>
      <c r="H11" s="451"/>
      <c r="L11" s="452" t="s">
        <v>62</v>
      </c>
      <c r="M11" s="452"/>
      <c r="N11" s="452"/>
      <c r="O11" s="452"/>
      <c r="U11" s="452" t="s">
        <v>79</v>
      </c>
      <c r="V11" s="452"/>
      <c r="W11" s="452"/>
    </row>
    <row r="12" spans="1:24" ht="27.75" customHeight="1">
      <c r="B12" s="42">
        <f>H4</f>
        <v>380000</v>
      </c>
      <c r="C12" s="45" t="s">
        <v>17</v>
      </c>
      <c r="D12" s="46" t="s">
        <v>77</v>
      </c>
      <c r="E12" s="47">
        <v>22</v>
      </c>
      <c r="F12" s="46" t="s">
        <v>78</v>
      </c>
      <c r="G12" s="469">
        <f>ROUND(B12/E12,-1)</f>
        <v>17270</v>
      </c>
      <c r="H12" s="469"/>
      <c r="I12" s="45" t="s">
        <v>17</v>
      </c>
      <c r="L12" s="470">
        <f>H4</f>
        <v>380000</v>
      </c>
      <c r="M12" s="470"/>
      <c r="N12" s="470"/>
      <c r="O12" s="470"/>
      <c r="P12" s="45" t="s">
        <v>17</v>
      </c>
      <c r="Q12" s="46" t="s">
        <v>77</v>
      </c>
      <c r="R12" s="471">
        <v>22</v>
      </c>
      <c r="S12" s="471"/>
      <c r="T12" s="46" t="s">
        <v>78</v>
      </c>
      <c r="U12" s="469">
        <f>ROUND(L12/R12,-1)</f>
        <v>17270</v>
      </c>
      <c r="V12" s="469"/>
      <c r="W12" s="469"/>
      <c r="X12" s="45" t="s">
        <v>17</v>
      </c>
    </row>
    <row r="13" spans="1:24" ht="19.5" customHeight="1">
      <c r="B13" s="33"/>
      <c r="C13" s="30"/>
      <c r="D13" s="30"/>
      <c r="E13" s="30"/>
      <c r="F13" s="30"/>
      <c r="G13" s="49" t="s">
        <v>80</v>
      </c>
      <c r="I13" s="30"/>
      <c r="L13" s="33"/>
      <c r="M13" s="33"/>
      <c r="P13" s="30"/>
      <c r="Q13" s="30"/>
      <c r="R13" s="30"/>
      <c r="S13" s="30"/>
      <c r="T13" s="30"/>
      <c r="U13" s="49" t="s">
        <v>80</v>
      </c>
      <c r="X13" s="63"/>
    </row>
    <row r="14" spans="1:24" ht="8.25" customHeight="1">
      <c r="X14" s="63"/>
    </row>
    <row r="15" spans="1:24" ht="19.5" customHeight="1">
      <c r="B15" s="40" t="s">
        <v>79</v>
      </c>
      <c r="G15" s="451" t="s">
        <v>83</v>
      </c>
      <c r="H15" s="451"/>
      <c r="L15" s="452" t="s">
        <v>79</v>
      </c>
      <c r="M15" s="452"/>
      <c r="N15" s="452"/>
      <c r="O15" s="452"/>
      <c r="U15" s="452" t="s">
        <v>83</v>
      </c>
      <c r="V15" s="452"/>
      <c r="W15" s="452"/>
      <c r="X15" s="63"/>
    </row>
    <row r="16" spans="1:24" ht="27.75" customHeight="1">
      <c r="B16" s="41">
        <f>G12</f>
        <v>17270</v>
      </c>
      <c r="C16" s="45" t="s">
        <v>17</v>
      </c>
      <c r="D16" s="46" t="s">
        <v>81</v>
      </c>
      <c r="E16" s="47" t="s">
        <v>82</v>
      </c>
      <c r="F16" s="46" t="s">
        <v>78</v>
      </c>
      <c r="G16" s="469">
        <f>ROUNDDOWN(B16*67/100,0)</f>
        <v>11570</v>
      </c>
      <c r="H16" s="469"/>
      <c r="I16" s="45" t="s">
        <v>17</v>
      </c>
      <c r="L16" s="469">
        <f>U12</f>
        <v>17270</v>
      </c>
      <c r="M16" s="469"/>
      <c r="N16" s="469"/>
      <c r="O16" s="469"/>
      <c r="P16" s="45" t="s">
        <v>17</v>
      </c>
      <c r="Q16" s="46" t="s">
        <v>81</v>
      </c>
      <c r="R16" s="471" t="s">
        <v>89</v>
      </c>
      <c r="S16" s="471"/>
      <c r="T16" s="46" t="s">
        <v>78</v>
      </c>
      <c r="U16" s="469">
        <f>ROUNDDOWN(L16*50/100,0)</f>
        <v>8635</v>
      </c>
      <c r="V16" s="469"/>
      <c r="W16" s="469"/>
      <c r="X16" s="45" t="s">
        <v>17</v>
      </c>
    </row>
    <row r="17" spans="2:24" ht="19.5" customHeight="1">
      <c r="B17" s="34"/>
      <c r="C17" s="30"/>
      <c r="D17" s="30"/>
      <c r="E17" s="30"/>
      <c r="F17" s="30"/>
      <c r="G17" s="49" t="s">
        <v>84</v>
      </c>
      <c r="I17" s="30"/>
      <c r="L17" s="34"/>
      <c r="M17" s="34"/>
      <c r="P17" s="30"/>
      <c r="Q17" s="30"/>
      <c r="R17" s="30"/>
      <c r="S17" s="30"/>
      <c r="T17" s="30"/>
      <c r="U17" s="49" t="s">
        <v>84</v>
      </c>
      <c r="X17" s="63"/>
    </row>
    <row r="18" spans="2:24" ht="6.75" customHeight="1">
      <c r="X18" s="63"/>
    </row>
    <row r="19" spans="2:24" ht="30" customHeight="1">
      <c r="B19" s="32" t="s">
        <v>85</v>
      </c>
      <c r="E19" s="40" t="s">
        <v>42</v>
      </c>
      <c r="G19" s="451" t="s">
        <v>43</v>
      </c>
      <c r="H19" s="451"/>
      <c r="L19" s="473" t="s">
        <v>85</v>
      </c>
      <c r="M19" s="473"/>
      <c r="N19" s="473"/>
      <c r="O19" s="473"/>
      <c r="R19" s="452" t="s">
        <v>42</v>
      </c>
      <c r="S19" s="452"/>
      <c r="T19" s="48"/>
      <c r="U19" s="452" t="s">
        <v>43</v>
      </c>
      <c r="V19" s="452"/>
      <c r="W19" s="452"/>
      <c r="X19" s="63"/>
    </row>
    <row r="20" spans="2:24" ht="27.75" customHeight="1">
      <c r="B20" s="41">
        <f>IF(B24&gt;G16,G16,B24)</f>
        <v>11570</v>
      </c>
      <c r="C20" s="45" t="s">
        <v>17</v>
      </c>
      <c r="D20" s="46" t="s">
        <v>81</v>
      </c>
      <c r="E20" s="44">
        <f>T4</f>
        <v>20</v>
      </c>
      <c r="F20" s="46" t="s">
        <v>78</v>
      </c>
      <c r="G20" s="480">
        <f>B20*E20</f>
        <v>231400</v>
      </c>
      <c r="H20" s="480"/>
      <c r="I20" s="45" t="s">
        <v>17</v>
      </c>
      <c r="L20" s="469">
        <f>IF(L24&gt;U16,U16,L24)</f>
        <v>8635</v>
      </c>
      <c r="M20" s="469"/>
      <c r="N20" s="469"/>
      <c r="O20" s="469"/>
      <c r="P20" s="45" t="s">
        <v>17</v>
      </c>
      <c r="Q20" s="46" t="s">
        <v>81</v>
      </c>
      <c r="R20" s="474">
        <f>T6</f>
        <v>3</v>
      </c>
      <c r="S20" s="474"/>
      <c r="T20" s="46" t="s">
        <v>78</v>
      </c>
      <c r="U20" s="480">
        <f>L20*R20</f>
        <v>25905</v>
      </c>
      <c r="V20" s="480"/>
      <c r="W20" s="480"/>
      <c r="X20" s="45" t="s">
        <v>17</v>
      </c>
    </row>
    <row r="21" spans="2:24" ht="11.25" customHeight="1">
      <c r="C21" s="30"/>
      <c r="D21" s="30"/>
      <c r="E21" s="36"/>
      <c r="F21" s="30"/>
      <c r="G21" s="34"/>
      <c r="H21" s="34"/>
      <c r="I21" s="30"/>
      <c r="L21" s="34"/>
      <c r="M21" s="34"/>
      <c r="N21" s="30"/>
      <c r="O21" s="30"/>
      <c r="P21" s="36"/>
      <c r="Q21" s="30"/>
      <c r="R21" s="30"/>
      <c r="S21" s="34"/>
      <c r="T21" s="30"/>
      <c r="U21" s="30"/>
    </row>
    <row r="22" spans="2:24" ht="18" customHeight="1">
      <c r="B22" s="31" t="s">
        <v>106</v>
      </c>
      <c r="L22" s="31" t="s">
        <v>106</v>
      </c>
    </row>
    <row r="23" spans="2:24" ht="17.25" customHeight="1">
      <c r="B23" s="38" t="s">
        <v>73</v>
      </c>
      <c r="L23" s="475" t="s">
        <v>74</v>
      </c>
      <c r="M23" s="475"/>
      <c r="N23" s="475"/>
      <c r="O23" s="475"/>
    </row>
    <row r="24" spans="2:24" ht="27.75" customHeight="1">
      <c r="B24" s="43">
        <v>12927</v>
      </c>
      <c r="C24" s="50" t="s">
        <v>17</v>
      </c>
      <c r="L24" s="472">
        <v>9647</v>
      </c>
      <c r="M24" s="472"/>
      <c r="N24" s="472"/>
      <c r="O24" s="472"/>
      <c r="P24" s="50" t="s">
        <v>17</v>
      </c>
    </row>
    <row r="25" spans="2:24" ht="27.75" customHeight="1">
      <c r="B25" s="31" t="s">
        <v>90</v>
      </c>
    </row>
    <row r="26" spans="2:24" ht="16.5" customHeight="1"/>
    <row r="27" spans="2:24">
      <c r="E27" s="34"/>
    </row>
  </sheetData>
  <sheetProtection sheet="1" objects="1" scenarios="1"/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使い方</vt:lpstr>
      <vt:lpstr>様式</vt:lpstr>
      <vt:lpstr>データ</vt:lpstr>
      <vt:lpstr>記入例</vt:lpstr>
      <vt:lpstr>記入例（延長）</vt:lpstr>
      <vt:lpstr>計算シート </vt:lpstr>
      <vt:lpstr>計算シート（例）</vt:lpstr>
      <vt:lpstr>Sheet1</vt:lpstr>
      <vt:lpstr>記入例!Print_Area</vt:lpstr>
      <vt:lpstr>'記入例（延長）'!Print_Area</vt:lpstr>
      <vt:lpstr>'計算シート '!Print_Area</vt:lpstr>
      <vt:lpstr>'計算シート（例）'!Print_Area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宮城ユーザー</dc:creator>
  <cp:lastModifiedBy>PS24</cp:lastModifiedBy>
  <cp:lastPrinted>2018-02-21T03:46:41Z</cp:lastPrinted>
  <dcterms:created xsi:type="dcterms:W3CDTF">1997-01-08T22:48:59Z</dcterms:created>
  <dcterms:modified xsi:type="dcterms:W3CDTF">2018-07-03T02:22:58Z</dcterms:modified>
</cp:coreProperties>
</file>