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新妻\Desktop\"/>
    </mc:Choice>
  </mc:AlternateContent>
  <bookViews>
    <workbookView xWindow="0" yWindow="0" windowWidth="20490" windowHeight="7770" tabRatio="704" activeTab="4"/>
  </bookViews>
  <sheets>
    <sheet name="病休・介休 入力" sheetId="1" r:id="rId1"/>
    <sheet name="除算期間内訳書（病休・介休）" sheetId="13" r:id="rId2"/>
    <sheet name="病休・介休 印刷" sheetId="4" state="hidden" r:id="rId3"/>
    <sheet name="病休等 TEMP" sheetId="3" state="hidden" r:id="rId4"/>
    <sheet name="産休・育休 入力" sheetId="6" r:id="rId5"/>
    <sheet name="産休・育休 TEMP" sheetId="7" state="hidden" r:id="rId6"/>
    <sheet name="産休・育休 印刷" sheetId="8" state="hidden" r:id="rId7"/>
    <sheet name="除算期間内訳書（産休・育休）" sheetId="12" r:id="rId8"/>
    <sheet name="祝日データ" sheetId="2" r:id="rId9"/>
    <sheet name="Sheet1" sheetId="14" r:id="rId10"/>
    <sheet name="期間率" sheetId="5" state="hidden" r:id="rId11"/>
  </sheets>
  <definedNames>
    <definedName name="_xlnm.Print_Area" localSheetId="6">'産休・育休 印刷'!$B$2:$AD$33</definedName>
    <definedName name="_xlnm.Print_Area" localSheetId="7">'除算期間内訳書（産休・育休）'!$B$2:$AL$49</definedName>
    <definedName name="_xlnm.Print_Area" localSheetId="1">'除算期間内訳書（病休・介休）'!$B$2:$AL$52</definedName>
    <definedName name="_xlnm.Print_Area" localSheetId="2">'病休・介休 印刷'!$B$2:$AD$60</definedName>
    <definedName name="祝日表">祝日データ!$C$4:$C$53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4" l="1"/>
  <c r="I3" i="14" s="1"/>
  <c r="K35" i="14" s="1"/>
  <c r="N96" i="14"/>
  <c r="J96" i="14"/>
  <c r="N95" i="14"/>
  <c r="J95" i="14" s="1"/>
  <c r="N94" i="14"/>
  <c r="J94" i="14" s="1"/>
  <c r="N93" i="14"/>
  <c r="J93" i="14" s="1"/>
  <c r="N92" i="14"/>
  <c r="J92" i="14"/>
  <c r="N91" i="14"/>
  <c r="J91" i="14" s="1"/>
  <c r="N90" i="14"/>
  <c r="J90" i="14"/>
  <c r="N89" i="14"/>
  <c r="J89" i="14" s="1"/>
  <c r="N88" i="14"/>
  <c r="J88" i="14"/>
  <c r="M87" i="14"/>
  <c r="M86" i="14"/>
  <c r="M85" i="14"/>
  <c r="L81" i="14"/>
  <c r="L79" i="14"/>
  <c r="L77" i="14"/>
  <c r="L75" i="14"/>
  <c r="L73" i="14"/>
  <c r="L70" i="14"/>
  <c r="L71" i="14" s="1"/>
  <c r="L68" i="14"/>
  <c r="L66" i="14"/>
  <c r="L64" i="14"/>
  <c r="L61" i="14"/>
  <c r="L59" i="14"/>
  <c r="L57" i="14"/>
  <c r="L55" i="14"/>
  <c r="L53" i="14"/>
  <c r="L51" i="14"/>
  <c r="N49" i="14"/>
  <c r="J49" i="14"/>
  <c r="N48" i="14"/>
  <c r="J48" i="14" s="1"/>
  <c r="N47" i="14"/>
  <c r="J47" i="14" s="1"/>
  <c r="N46" i="14"/>
  <c r="J46" i="14" s="1"/>
  <c r="N45" i="14"/>
  <c r="J45" i="14"/>
  <c r="N44" i="14"/>
  <c r="J44" i="14" s="1"/>
  <c r="N43" i="14"/>
  <c r="J43" i="14"/>
  <c r="N42" i="14"/>
  <c r="J42" i="14" s="1"/>
  <c r="N41" i="14"/>
  <c r="J41" i="14" s="1"/>
  <c r="M40" i="14"/>
  <c r="L34" i="14"/>
  <c r="L32" i="14"/>
  <c r="L30" i="14"/>
  <c r="L28" i="14"/>
  <c r="L26" i="14"/>
  <c r="L23" i="14"/>
  <c r="L24" i="14" s="1"/>
  <c r="L21" i="14"/>
  <c r="L19" i="14"/>
  <c r="L17" i="14"/>
  <c r="L14" i="14"/>
  <c r="L12" i="14"/>
  <c r="L10" i="14"/>
  <c r="C9" i="14"/>
  <c r="L8" i="14"/>
  <c r="L6" i="14"/>
  <c r="L4" i="14"/>
  <c r="L35" i="14" l="1"/>
  <c r="N31" i="14"/>
  <c r="K11" i="14"/>
  <c r="M17" i="14"/>
  <c r="N17" i="14" s="1"/>
  <c r="M33" i="14"/>
  <c r="M34" i="14" s="1"/>
  <c r="N34" i="14" s="1"/>
  <c r="J34" i="14" s="1"/>
  <c r="M5" i="14"/>
  <c r="N5" i="14" s="1"/>
  <c r="M22" i="14"/>
  <c r="N22" i="14" s="1"/>
  <c r="N11" i="14"/>
  <c r="M15" i="14"/>
  <c r="N15" i="14" s="1"/>
  <c r="M18" i="14"/>
  <c r="M19" i="14" s="1"/>
  <c r="N19" i="14" s="1"/>
  <c r="J19" i="14" s="1"/>
  <c r="N29" i="14"/>
  <c r="M36" i="14"/>
  <c r="N36" i="14" s="1"/>
  <c r="N3" i="14"/>
  <c r="M7" i="14"/>
  <c r="M9" i="14"/>
  <c r="M10" i="14" s="1"/>
  <c r="N10" i="14" s="1"/>
  <c r="J10" i="14" s="1"/>
  <c r="N16" i="14"/>
  <c r="M25" i="14"/>
  <c r="N25" i="14" s="1"/>
  <c r="N40" i="14"/>
  <c r="N13" i="14"/>
  <c r="M30" i="14"/>
  <c r="N30" i="14" s="1"/>
  <c r="J30" i="14" s="1"/>
  <c r="M32" i="14"/>
  <c r="N32" i="14" s="1"/>
  <c r="I50" i="14"/>
  <c r="M35" i="14"/>
  <c r="N35" i="14" s="1"/>
  <c r="J35" i="14" s="1"/>
  <c r="M27" i="14"/>
  <c r="M14" i="14"/>
  <c r="N14" i="14" s="1"/>
  <c r="J14" i="14" s="1"/>
  <c r="M12" i="14"/>
  <c r="N12" i="14" s="1"/>
  <c r="J12" i="14" s="1"/>
  <c r="M4" i="14"/>
  <c r="N4" i="14" s="1"/>
  <c r="M84" i="14"/>
  <c r="M39" i="14"/>
  <c r="N39" i="14" s="1"/>
  <c r="M37" i="14"/>
  <c r="N37" i="14" s="1"/>
  <c r="K15" i="14"/>
  <c r="M20" i="14"/>
  <c r="M38" i="14"/>
  <c r="N38" i="14" s="1"/>
  <c r="M6" i="14" l="1"/>
  <c r="N6" i="14" s="1"/>
  <c r="J6" i="14" s="1"/>
  <c r="N33" i="14"/>
  <c r="M26" i="14"/>
  <c r="N26" i="14" s="1"/>
  <c r="J26" i="14" s="1"/>
  <c r="M23" i="14"/>
  <c r="N23" i="14" s="1"/>
  <c r="J23" i="14" s="1"/>
  <c r="N9" i="14"/>
  <c r="M24" i="14"/>
  <c r="N24" i="14" s="1"/>
  <c r="N7" i="14"/>
  <c r="M8" i="14"/>
  <c r="N8" i="14" s="1"/>
  <c r="J8" i="14" s="1"/>
  <c r="N18" i="14"/>
  <c r="K82" i="14"/>
  <c r="M77" i="14"/>
  <c r="N77" i="14" s="1"/>
  <c r="J77" i="14" s="1"/>
  <c r="M69" i="14"/>
  <c r="N63" i="14"/>
  <c r="K62" i="14"/>
  <c r="N58" i="14"/>
  <c r="M56" i="14"/>
  <c r="M51" i="14"/>
  <c r="N51" i="14" s="1"/>
  <c r="J51" i="14" s="1"/>
  <c r="M83" i="14"/>
  <c r="N83" i="14" s="1"/>
  <c r="M79" i="14"/>
  <c r="N79" i="14" s="1"/>
  <c r="J79" i="14" s="1"/>
  <c r="M74" i="14"/>
  <c r="M67" i="14"/>
  <c r="M62" i="14"/>
  <c r="N62" i="14" s="1"/>
  <c r="M59" i="14"/>
  <c r="N59" i="14" s="1"/>
  <c r="J59" i="14" s="1"/>
  <c r="M52" i="14"/>
  <c r="M72" i="14"/>
  <c r="M65" i="14"/>
  <c r="N50" i="14"/>
  <c r="M82" i="14"/>
  <c r="N82" i="14" s="1"/>
  <c r="J82" i="14" s="1"/>
  <c r="M80" i="14"/>
  <c r="N78" i="14"/>
  <c r="N60" i="14"/>
  <c r="N76" i="14"/>
  <c r="M61" i="14"/>
  <c r="N61" i="14" s="1"/>
  <c r="J61" i="14" s="1"/>
  <c r="K58" i="14"/>
  <c r="L82" i="14"/>
  <c r="M64" i="14"/>
  <c r="N64" i="14" s="1"/>
  <c r="M54" i="14"/>
  <c r="N85" i="14"/>
  <c r="N87" i="14"/>
  <c r="N20" i="14"/>
  <c r="J20" i="14" s="1"/>
  <c r="M21" i="14"/>
  <c r="N21" i="14" s="1"/>
  <c r="J21" i="14" s="1"/>
  <c r="N84" i="14"/>
  <c r="N27" i="14"/>
  <c r="M28" i="14"/>
  <c r="N28" i="14" s="1"/>
  <c r="J28" i="14" s="1"/>
  <c r="N86" i="14"/>
  <c r="J4" i="14"/>
  <c r="N65" i="14" l="1"/>
  <c r="M66" i="14"/>
  <c r="N66" i="14" s="1"/>
  <c r="J66" i="14" s="1"/>
  <c r="N54" i="14"/>
  <c r="M55" i="14"/>
  <c r="N55" i="14" s="1"/>
  <c r="J55" i="14" s="1"/>
  <c r="N80" i="14"/>
  <c r="M81" i="14"/>
  <c r="N81" i="14" s="1"/>
  <c r="J81" i="14" s="1"/>
  <c r="N72" i="14"/>
  <c r="M73" i="14"/>
  <c r="N73" i="14" s="1"/>
  <c r="J73" i="14" s="1"/>
  <c r="M68" i="14"/>
  <c r="N68" i="14" s="1"/>
  <c r="J68" i="14" s="1"/>
  <c r="N67" i="14"/>
  <c r="M53" i="14"/>
  <c r="N53" i="14" s="1"/>
  <c r="J53" i="14" s="1"/>
  <c r="N52" i="14"/>
  <c r="M75" i="14"/>
  <c r="N75" i="14" s="1"/>
  <c r="J75" i="14" s="1"/>
  <c r="N74" i="14"/>
  <c r="M57" i="14"/>
  <c r="N57" i="14" s="1"/>
  <c r="N56" i="14"/>
  <c r="M70" i="14"/>
  <c r="N70" i="14" s="1"/>
  <c r="J70" i="14" s="1"/>
  <c r="N69" i="14"/>
  <c r="M71" i="14"/>
  <c r="N71" i="14" s="1"/>
  <c r="J64" i="14" l="1"/>
  <c r="J71" i="14"/>
  <c r="J32" i="14"/>
  <c r="J11" i="14"/>
  <c r="J38" i="14"/>
  <c r="J69" i="14"/>
  <c r="J74" i="14"/>
  <c r="J76" i="14"/>
  <c r="J24" i="14"/>
  <c r="J67" i="14"/>
  <c r="J85" i="14"/>
  <c r="J36" i="14"/>
  <c r="J65" i="14"/>
  <c r="J58" i="14"/>
  <c r="J87" i="14"/>
  <c r="J5" i="14"/>
  <c r="J39" i="14"/>
  <c r="J13" i="14"/>
  <c r="J80" i="14"/>
  <c r="J86" i="14"/>
  <c r="J83" i="14"/>
  <c r="J78" i="14"/>
  <c r="J50" i="14"/>
  <c r="J84" i="14"/>
  <c r="J17" i="14"/>
  <c r="J56" i="14"/>
  <c r="J52" i="14"/>
  <c r="J31" i="14"/>
  <c r="J15" i="14"/>
  <c r="J7" i="14"/>
  <c r="J16" i="14"/>
  <c r="J25" i="14"/>
  <c r="J40" i="14"/>
  <c r="J3" i="14"/>
  <c r="J62" i="14"/>
  <c r="J9" i="14"/>
  <c r="J33" i="14"/>
  <c r="J60" i="14"/>
  <c r="J22" i="14"/>
  <c r="J37" i="14"/>
  <c r="J57" i="14"/>
  <c r="J27" i="14"/>
  <c r="J63" i="14"/>
  <c r="J72" i="14"/>
  <c r="J54" i="14"/>
  <c r="J18" i="14"/>
  <c r="J29" i="14"/>
  <c r="D3" i="14" l="1"/>
  <c r="D4" i="14" l="1"/>
  <c r="F3" i="14"/>
  <c r="B4" i="2" s="1"/>
  <c r="E3" i="14"/>
  <c r="D4" i="2" s="1"/>
  <c r="C4" i="2" s="1"/>
  <c r="E4" i="14" l="1"/>
  <c r="D5" i="2" s="1"/>
  <c r="C5" i="2" s="1"/>
  <c r="D5" i="14"/>
  <c r="F4" i="14"/>
  <c r="B5" i="2" s="1"/>
  <c r="D6" i="14" l="1"/>
  <c r="F5" i="14"/>
  <c r="B6" i="2" s="1"/>
  <c r="E5" i="14"/>
  <c r="D6" i="2" s="1"/>
  <c r="C6" i="2" s="1"/>
  <c r="D7" i="14" l="1"/>
  <c r="F6" i="14"/>
  <c r="B7" i="2" s="1"/>
  <c r="E6" i="14"/>
  <c r="D7" i="2" s="1"/>
  <c r="C7" i="2" s="1"/>
  <c r="E7" i="14" l="1"/>
  <c r="D8" i="2" s="1"/>
  <c r="C8" i="2" s="1"/>
  <c r="F7" i="14"/>
  <c r="B8" i="2" s="1"/>
  <c r="D8" i="14"/>
  <c r="F8" i="14" l="1"/>
  <c r="B9" i="2" s="1"/>
  <c r="D9" i="14"/>
  <c r="E8" i="14"/>
  <c r="D9" i="2" s="1"/>
  <c r="C9" i="2" s="1"/>
  <c r="D10" i="14" l="1"/>
  <c r="F9" i="14"/>
  <c r="B10" i="2" s="1"/>
  <c r="E9" i="14"/>
  <c r="D10" i="2" s="1"/>
  <c r="C10" i="2" s="1"/>
  <c r="E10" i="14" l="1"/>
  <c r="D11" i="2" s="1"/>
  <c r="C11" i="2" s="1"/>
  <c r="D11" i="14"/>
  <c r="F10" i="14"/>
  <c r="B11" i="2" s="1"/>
  <c r="F11" i="14" l="1"/>
  <c r="B12" i="2" s="1"/>
  <c r="D12" i="14"/>
  <c r="E11" i="14"/>
  <c r="D12" i="2" s="1"/>
  <c r="C12" i="2" s="1"/>
  <c r="E12" i="14" l="1"/>
  <c r="D13" i="2" s="1"/>
  <c r="C13" i="2" s="1"/>
  <c r="D13" i="14"/>
  <c r="F12" i="14"/>
  <c r="B13" i="2" s="1"/>
  <c r="F13" i="14" l="1"/>
  <c r="B14" i="2" s="1"/>
  <c r="D14" i="14"/>
  <c r="E13" i="14"/>
  <c r="D14" i="2" s="1"/>
  <c r="C14" i="2" s="1"/>
  <c r="E14" i="14" l="1"/>
  <c r="D15" i="2" s="1"/>
  <c r="C15" i="2" s="1"/>
  <c r="F14" i="14"/>
  <c r="B15" i="2" s="1"/>
  <c r="D15" i="14"/>
  <c r="F15" i="14" l="1"/>
  <c r="B16" i="2" s="1"/>
  <c r="E15" i="14"/>
  <c r="D16" i="2" s="1"/>
  <c r="C16" i="2" s="1"/>
  <c r="D16" i="14"/>
  <c r="F16" i="14" l="1"/>
  <c r="B17" i="2" s="1"/>
  <c r="E16" i="14"/>
  <c r="D17" i="2" s="1"/>
  <c r="C17" i="2" s="1"/>
  <c r="D17" i="14"/>
  <c r="F17" i="14" l="1"/>
  <c r="B18" i="2" s="1"/>
  <c r="D18" i="14"/>
  <c r="E17" i="14"/>
  <c r="D18" i="2" s="1"/>
  <c r="C18" i="2" s="1"/>
  <c r="D19" i="14" l="1"/>
  <c r="E18" i="14"/>
  <c r="D19" i="2" s="1"/>
  <c r="C19" i="2" s="1"/>
  <c r="F18" i="14"/>
  <c r="B19" i="2" s="1"/>
  <c r="E19" i="14" l="1"/>
  <c r="D20" i="2" s="1"/>
  <c r="C20" i="2" s="1"/>
  <c r="D20" i="14"/>
  <c r="F19" i="14"/>
  <c r="B20" i="2" s="1"/>
  <c r="D21" i="14" l="1"/>
  <c r="F20" i="14"/>
  <c r="B21" i="2" s="1"/>
  <c r="E20" i="14"/>
  <c r="D21" i="2" s="1"/>
  <c r="C21" i="2" s="1"/>
  <c r="D22" i="14" l="1"/>
  <c r="F21" i="14"/>
  <c r="B22" i="2" s="1"/>
  <c r="E21" i="14"/>
  <c r="D22" i="2" s="1"/>
  <c r="C22" i="2" s="1"/>
  <c r="E22" i="14" l="1"/>
  <c r="D23" i="2" s="1"/>
  <c r="C23" i="2" s="1"/>
  <c r="D23" i="14"/>
  <c r="F22" i="14"/>
  <c r="B23" i="2" s="1"/>
  <c r="D24" i="14" l="1"/>
  <c r="F23" i="14"/>
  <c r="B24" i="2" s="1"/>
  <c r="E23" i="14"/>
  <c r="D24" i="2" s="1"/>
  <c r="C24" i="2" s="1"/>
  <c r="D25" i="14" l="1"/>
  <c r="F24" i="14"/>
  <c r="B25" i="2" s="1"/>
  <c r="E24" i="14"/>
  <c r="D25" i="2" s="1"/>
  <c r="C25" i="2" s="1"/>
  <c r="E25" i="14" l="1"/>
  <c r="D26" i="2" s="1"/>
  <c r="C26" i="2" s="1"/>
  <c r="F25" i="14"/>
  <c r="B26" i="2" s="1"/>
  <c r="D26" i="14"/>
  <c r="D27" i="14" l="1"/>
  <c r="E26" i="14"/>
  <c r="D27" i="2" s="1"/>
  <c r="C27" i="2" s="1"/>
  <c r="F26" i="14"/>
  <c r="B27" i="2" s="1"/>
  <c r="E27" i="14" l="1"/>
  <c r="D28" i="2" s="1"/>
  <c r="C28" i="2" s="1"/>
  <c r="D28" i="14"/>
  <c r="F27" i="14"/>
  <c r="B28" i="2" s="1"/>
  <c r="F28" i="14" l="1"/>
  <c r="B29" i="2" s="1"/>
  <c r="E28" i="14"/>
  <c r="D29" i="2" s="1"/>
  <c r="C29" i="2" s="1"/>
  <c r="D29" i="14"/>
  <c r="F29" i="14" l="1"/>
  <c r="B30" i="2" s="1"/>
  <c r="E29" i="14"/>
  <c r="D30" i="2" s="1"/>
  <c r="C30" i="2" s="1"/>
  <c r="D30" i="14"/>
  <c r="AE8" i="12"/>
  <c r="W8" i="12"/>
  <c r="V10" i="13"/>
  <c r="V9" i="13"/>
  <c r="F30" i="14" l="1"/>
  <c r="B31" i="2" s="1"/>
  <c r="D31" i="14"/>
  <c r="E30" i="14"/>
  <c r="D31" i="2" s="1"/>
  <c r="C31" i="2" s="1"/>
  <c r="K10" i="13"/>
  <c r="K9" i="13"/>
  <c r="V8" i="13"/>
  <c r="K8" i="13"/>
  <c r="K7" i="13"/>
  <c r="Y6" i="13"/>
  <c r="Y5" i="13"/>
  <c r="Y4" i="13"/>
  <c r="I6" i="13"/>
  <c r="I4" i="13"/>
  <c r="C2" i="13"/>
  <c r="E31" i="14" l="1"/>
  <c r="D32" i="2" s="1"/>
  <c r="C32" i="2" s="1"/>
  <c r="D32" i="14"/>
  <c r="F31" i="14"/>
  <c r="B32" i="2" s="1"/>
  <c r="G10" i="1"/>
  <c r="J10" i="1" s="1"/>
  <c r="O10" i="1" s="1"/>
  <c r="K10" i="1"/>
  <c r="N10" i="1" s="1"/>
  <c r="P10" i="1" s="1"/>
  <c r="R10" i="1"/>
  <c r="U10" i="1" s="1"/>
  <c r="Z10" i="1" s="1"/>
  <c r="V10" i="1"/>
  <c r="Y10" i="1" s="1"/>
  <c r="C47" i="4"/>
  <c r="K47" i="4"/>
  <c r="V9" i="12"/>
  <c r="K9" i="12"/>
  <c r="K8" i="12"/>
  <c r="Y7" i="12"/>
  <c r="Y6" i="12"/>
  <c r="Y5" i="12"/>
  <c r="I7" i="12"/>
  <c r="I5" i="12"/>
  <c r="C2" i="12"/>
  <c r="F32" i="14" l="1"/>
  <c r="B33" i="2" s="1"/>
  <c r="D33" i="14"/>
  <c r="E32" i="14"/>
  <c r="D33" i="2" s="1"/>
  <c r="C33" i="2" s="1"/>
  <c r="AA10" i="1"/>
  <c r="S47" i="4"/>
  <c r="C14" i="7"/>
  <c r="B2" i="8"/>
  <c r="B2" i="4"/>
  <c r="E33" i="14" l="1"/>
  <c r="D34" i="2" s="1"/>
  <c r="C34" i="2" s="1"/>
  <c r="D34" i="14"/>
  <c r="F33" i="14"/>
  <c r="B34" i="2" s="1"/>
  <c r="K15" i="8"/>
  <c r="C15" i="8"/>
  <c r="K11" i="8"/>
  <c r="C11" i="8"/>
  <c r="B7" i="8"/>
  <c r="Z5" i="8"/>
  <c r="Z4" i="8"/>
  <c r="V8" i="6"/>
  <c r="Y8" i="6" s="1"/>
  <c r="AA8" i="6" s="1"/>
  <c r="R8" i="6"/>
  <c r="U8" i="6" s="1"/>
  <c r="K8" i="6"/>
  <c r="N8" i="6" s="1"/>
  <c r="P8" i="6" s="1"/>
  <c r="G8" i="6"/>
  <c r="J8" i="6" s="1"/>
  <c r="V7" i="6"/>
  <c r="Y7" i="6" s="1"/>
  <c r="AA7" i="6" s="1"/>
  <c r="R7" i="6"/>
  <c r="U7" i="6" s="1"/>
  <c r="K7" i="6"/>
  <c r="G7" i="6"/>
  <c r="J7" i="6" s="1"/>
  <c r="E34" i="14" l="1"/>
  <c r="D35" i="2" s="1"/>
  <c r="C35" i="2" s="1"/>
  <c r="F34" i="14"/>
  <c r="B35" i="2" s="1"/>
  <c r="D35" i="14"/>
  <c r="J6" i="7"/>
  <c r="H6" i="7"/>
  <c r="E3" i="7"/>
  <c r="Z8" i="6"/>
  <c r="O8" i="6"/>
  <c r="D6" i="7" s="1"/>
  <c r="D3" i="7"/>
  <c r="D15" i="7"/>
  <c r="E15" i="7"/>
  <c r="E16" i="7"/>
  <c r="Z7" i="6"/>
  <c r="N7" i="6"/>
  <c r="O7" i="6"/>
  <c r="D38" i="3"/>
  <c r="F35" i="14" l="1"/>
  <c r="B36" i="2" s="1"/>
  <c r="D36" i="14"/>
  <c r="E35" i="14"/>
  <c r="D36" i="2" s="1"/>
  <c r="C36" i="2" s="1"/>
  <c r="I5" i="7"/>
  <c r="G5" i="7"/>
  <c r="E6" i="7"/>
  <c r="F6" i="7" s="1"/>
  <c r="C6" i="7" s="1"/>
  <c r="C15" i="7"/>
  <c r="P7" i="6"/>
  <c r="D16" i="7"/>
  <c r="C16" i="7" s="1"/>
  <c r="C3" i="7"/>
  <c r="D37" i="14" l="1"/>
  <c r="F36" i="14"/>
  <c r="B37" i="2" s="1"/>
  <c r="E36" i="14"/>
  <c r="D37" i="2" s="1"/>
  <c r="C37" i="2" s="1"/>
  <c r="D5" i="7"/>
  <c r="E5" i="7"/>
  <c r="C26" i="7"/>
  <c r="C22" i="7"/>
  <c r="C19" i="7"/>
  <c r="K16" i="8"/>
  <c r="S21" i="8"/>
  <c r="D16" i="8"/>
  <c r="H30" i="3"/>
  <c r="I31" i="3"/>
  <c r="J30" i="3"/>
  <c r="D31" i="3"/>
  <c r="D30" i="3"/>
  <c r="M14" i="4"/>
  <c r="M13" i="4"/>
  <c r="E14" i="4"/>
  <c r="E13" i="4"/>
  <c r="E12" i="4"/>
  <c r="M12" i="4"/>
  <c r="B7" i="4"/>
  <c r="Z5" i="4"/>
  <c r="Z4" i="4"/>
  <c r="D38" i="14" l="1"/>
  <c r="F37" i="14"/>
  <c r="B38" i="2" s="1"/>
  <c r="E37" i="14"/>
  <c r="D38" i="2" s="1"/>
  <c r="C38" i="2" s="1"/>
  <c r="AF10" i="12"/>
  <c r="F5" i="7"/>
  <c r="C5" i="7" s="1"/>
  <c r="C8" i="7" s="1"/>
  <c r="U23" i="12"/>
  <c r="C32" i="8"/>
  <c r="L31" i="8"/>
  <c r="R31" i="8"/>
  <c r="I25" i="8"/>
  <c r="H5" i="7"/>
  <c r="I30" i="3"/>
  <c r="H31" i="3" s="1"/>
  <c r="K31" i="3"/>
  <c r="E30" i="3"/>
  <c r="F30" i="3" s="1"/>
  <c r="C30" i="3" s="1"/>
  <c r="T50" i="4" s="1"/>
  <c r="E31" i="3"/>
  <c r="F31" i="3" s="1"/>
  <c r="V9" i="1"/>
  <c r="Y9" i="1" s="1"/>
  <c r="AA9" i="1" s="1"/>
  <c r="V8" i="1"/>
  <c r="Y8" i="1" s="1"/>
  <c r="AA8" i="1" s="1"/>
  <c r="V7" i="1"/>
  <c r="Y7" i="1" s="1"/>
  <c r="AA7" i="1" s="1"/>
  <c r="R9" i="1"/>
  <c r="U9" i="1" s="1"/>
  <c r="Z9" i="1" s="1"/>
  <c r="R8" i="1"/>
  <c r="U8" i="1" s="1"/>
  <c r="Z8" i="1" s="1"/>
  <c r="R7" i="1"/>
  <c r="U7" i="1" s="1"/>
  <c r="Z7" i="1" s="1"/>
  <c r="K9" i="1"/>
  <c r="N9" i="1" s="1"/>
  <c r="P9" i="1" s="1"/>
  <c r="K8" i="1"/>
  <c r="N8" i="1" s="1"/>
  <c r="P8" i="1" s="1"/>
  <c r="K7" i="1"/>
  <c r="G9" i="1"/>
  <c r="J9" i="1" s="1"/>
  <c r="O9" i="1" s="1"/>
  <c r="G8" i="1"/>
  <c r="J8" i="1" s="1"/>
  <c r="O8" i="1" s="1"/>
  <c r="G7" i="1"/>
  <c r="J7" i="1" s="1"/>
  <c r="O7" i="1" s="1"/>
  <c r="U40" i="12" l="1"/>
  <c r="D39" i="14"/>
  <c r="F38" i="14"/>
  <c r="B39" i="2" s="1"/>
  <c r="E38" i="14"/>
  <c r="D39" i="2" s="1"/>
  <c r="C39" i="2" s="1"/>
  <c r="L50" i="4"/>
  <c r="D50" i="4"/>
  <c r="J54" i="4"/>
  <c r="X24" i="12"/>
  <c r="X41" i="12" s="1"/>
  <c r="G6" i="7"/>
  <c r="C21" i="7"/>
  <c r="S20" i="8"/>
  <c r="C18" i="7"/>
  <c r="C9" i="7"/>
  <c r="C11" i="7" s="1"/>
  <c r="J5" i="7"/>
  <c r="I6" i="7" s="1"/>
  <c r="I22" i="3"/>
  <c r="K20" i="3"/>
  <c r="K21" i="3"/>
  <c r="K22" i="3"/>
  <c r="I21" i="3"/>
  <c r="K30" i="3"/>
  <c r="J31" i="3" s="1"/>
  <c r="C31" i="3"/>
  <c r="T51" i="4" s="1"/>
  <c r="E20" i="3"/>
  <c r="D22" i="3"/>
  <c r="E21" i="3"/>
  <c r="E22" i="3"/>
  <c r="D21" i="3"/>
  <c r="J19" i="3"/>
  <c r="E19" i="3"/>
  <c r="H19" i="3"/>
  <c r="D19" i="3"/>
  <c r="E18" i="3"/>
  <c r="H18" i="3"/>
  <c r="D18" i="3"/>
  <c r="J17" i="3"/>
  <c r="E17" i="3"/>
  <c r="H17" i="3"/>
  <c r="D5" i="3"/>
  <c r="F5" i="3" s="1"/>
  <c r="E5" i="3"/>
  <c r="G5" i="3" s="1"/>
  <c r="D4" i="3"/>
  <c r="F4" i="3" s="1"/>
  <c r="E4" i="3"/>
  <c r="G4" i="3" s="1"/>
  <c r="N7" i="1"/>
  <c r="P7" i="1" s="1"/>
  <c r="J18" i="3"/>
  <c r="E3" i="3"/>
  <c r="G3" i="3" s="1"/>
  <c r="E6" i="3"/>
  <c r="D7" i="3"/>
  <c r="D8" i="3"/>
  <c r="F39" i="14" l="1"/>
  <c r="B40" i="2" s="1"/>
  <c r="D40" i="14"/>
  <c r="E39" i="14"/>
  <c r="D40" i="2" s="1"/>
  <c r="C40" i="2" s="1"/>
  <c r="L39" i="4"/>
  <c r="L54" i="4"/>
  <c r="D51" i="4"/>
  <c r="L51" i="4"/>
  <c r="D52" i="4"/>
  <c r="C5" i="3"/>
  <c r="C20" i="8"/>
  <c r="K20" i="8"/>
  <c r="C21" i="8"/>
  <c r="H23" i="12" s="1"/>
  <c r="G25" i="8"/>
  <c r="U20" i="12"/>
  <c r="J31" i="8"/>
  <c r="O25" i="8"/>
  <c r="U25" i="12" s="1"/>
  <c r="C12" i="7"/>
  <c r="P31" i="8"/>
  <c r="B19" i="5" s="1"/>
  <c r="Q25" i="8"/>
  <c r="D20" i="3"/>
  <c r="F20" i="3" s="1"/>
  <c r="C4" i="3"/>
  <c r="F19" i="3"/>
  <c r="F21" i="3"/>
  <c r="F18" i="3"/>
  <c r="F22" i="3"/>
  <c r="I19" i="3"/>
  <c r="H22" i="3" s="1"/>
  <c r="D25" i="3" s="1"/>
  <c r="I18" i="3"/>
  <c r="H21" i="3" s="1"/>
  <c r="D17" i="3"/>
  <c r="I17" i="3" s="1"/>
  <c r="H20" i="3" s="1"/>
  <c r="I20" i="3"/>
  <c r="D3" i="3"/>
  <c r="F3" i="3" s="1"/>
  <c r="C3" i="3" s="1"/>
  <c r="K18" i="3"/>
  <c r="K19" i="3"/>
  <c r="J22" i="3" s="1"/>
  <c r="E25" i="3" s="1"/>
  <c r="K17" i="3"/>
  <c r="D6" i="3"/>
  <c r="E8" i="3"/>
  <c r="E7" i="3"/>
  <c r="H17" i="12" l="1"/>
  <c r="K21" i="8"/>
  <c r="D41" i="14"/>
  <c r="F40" i="14"/>
  <c r="B41" i="2" s="1"/>
  <c r="E40" i="14"/>
  <c r="D41" i="2" s="1"/>
  <c r="C41" i="2" s="1"/>
  <c r="K10" i="12"/>
  <c r="H40" i="12"/>
  <c r="D19" i="5"/>
  <c r="U24" i="12"/>
  <c r="U41" i="12" s="1"/>
  <c r="U37" i="12"/>
  <c r="H34" i="12" s="1"/>
  <c r="O17" i="12"/>
  <c r="L26" i="8"/>
  <c r="X25" i="12"/>
  <c r="J26" i="8"/>
  <c r="P26" i="8"/>
  <c r="AA24" i="12" s="1"/>
  <c r="R26" i="8"/>
  <c r="AD24" i="12" s="1"/>
  <c r="C32" i="3"/>
  <c r="O54" i="4" s="1"/>
  <c r="D23" i="3"/>
  <c r="F25" i="3"/>
  <c r="C6" i="3"/>
  <c r="F17" i="3"/>
  <c r="J21" i="3"/>
  <c r="J20" i="3"/>
  <c r="C7" i="3"/>
  <c r="C8" i="3"/>
  <c r="O23" i="12" l="1"/>
  <c r="O40" i="12"/>
  <c r="O34" i="12"/>
  <c r="H35" i="12"/>
  <c r="H36" i="12" s="1"/>
  <c r="H37" i="12" s="1"/>
  <c r="O37" i="12" s="1"/>
  <c r="H18" i="12"/>
  <c r="H19" i="12" s="1"/>
  <c r="H20" i="12" s="1"/>
  <c r="H21" i="12" s="1"/>
  <c r="V10" i="12"/>
  <c r="F41" i="14"/>
  <c r="B42" i="2" s="1"/>
  <c r="D42" i="14"/>
  <c r="E41" i="14"/>
  <c r="D42" i="2" s="1"/>
  <c r="C42" i="2" s="1"/>
  <c r="C19" i="5"/>
  <c r="C33" i="8" s="1"/>
  <c r="F9" i="5"/>
  <c r="Q33" i="8"/>
  <c r="AG41" i="12" s="1"/>
  <c r="AD41" i="12" s="1"/>
  <c r="C33" i="3"/>
  <c r="Q54" i="4" s="1"/>
  <c r="N16" i="4"/>
  <c r="N18" i="4"/>
  <c r="AA41" i="12" l="1"/>
  <c r="D46" i="12"/>
  <c r="O21" i="12"/>
  <c r="H22" i="12"/>
  <c r="O22" i="12" s="1"/>
  <c r="H38" i="12"/>
  <c r="O36" i="12"/>
  <c r="O35" i="12"/>
  <c r="O18" i="12"/>
  <c r="E42" i="14"/>
  <c r="D43" i="2" s="1"/>
  <c r="C43" i="2" s="1"/>
  <c r="D43" i="14"/>
  <c r="F42" i="14"/>
  <c r="B43" i="2" s="1"/>
  <c r="H23" i="4"/>
  <c r="D23" i="4"/>
  <c r="Q32" i="13"/>
  <c r="G9" i="5"/>
  <c r="C27" i="8" s="1"/>
  <c r="H9" i="5"/>
  <c r="P27" i="8" s="1"/>
  <c r="AG24" i="12" s="1"/>
  <c r="O38" i="12" l="1"/>
  <c r="H39" i="12"/>
  <c r="O39" i="12" s="1"/>
  <c r="O19" i="12"/>
  <c r="F43" i="14"/>
  <c r="B44" i="2" s="1"/>
  <c r="E43" i="14"/>
  <c r="D44" i="2" s="1"/>
  <c r="C44" i="2" s="1"/>
  <c r="D44" i="14"/>
  <c r="O20" i="12" l="1"/>
  <c r="D45" i="14"/>
  <c r="E44" i="14"/>
  <c r="D45" i="2" s="1"/>
  <c r="C45" i="2" s="1"/>
  <c r="F44" i="14"/>
  <c r="B45" i="2" s="1"/>
  <c r="F45" i="14" l="1"/>
  <c r="B46" i="2" s="1"/>
  <c r="D46" i="14"/>
  <c r="E45" i="14"/>
  <c r="D46" i="2" s="1"/>
  <c r="C46" i="2" s="1"/>
  <c r="E46" i="14" l="1"/>
  <c r="D47" i="2" s="1"/>
  <c r="C47" i="2" s="1"/>
  <c r="D47" i="14"/>
  <c r="F46" i="14"/>
  <c r="B47" i="2" s="1"/>
  <c r="F47" i="14" l="1"/>
  <c r="B48" i="2" s="1"/>
  <c r="E47" i="14"/>
  <c r="D48" i="14"/>
  <c r="D48" i="2" l="1"/>
  <c r="C48" i="2" s="1"/>
  <c r="D49" i="14"/>
  <c r="E48" i="14"/>
  <c r="F48" i="14"/>
  <c r="B49" i="2" s="1"/>
  <c r="D49" i="2" l="1"/>
  <c r="C49" i="2" s="1"/>
  <c r="F49" i="14"/>
  <c r="B50" i="2" s="1"/>
  <c r="D50" i="14"/>
  <c r="E49" i="14"/>
  <c r="D50" i="2" l="1"/>
  <c r="C50" i="2" s="1"/>
  <c r="D51" i="14"/>
  <c r="E50" i="14"/>
  <c r="F50" i="14"/>
  <c r="B51" i="2" s="1"/>
  <c r="D51" i="2" l="1"/>
  <c r="C51" i="2" s="1"/>
  <c r="E51" i="14"/>
  <c r="D52" i="14"/>
  <c r="F51" i="14"/>
  <c r="B52" i="2" s="1"/>
  <c r="D52" i="2" l="1"/>
  <c r="C52" i="2" s="1"/>
  <c r="F52" i="14"/>
  <c r="B53" i="2" s="1"/>
  <c r="E52" i="14"/>
  <c r="D53" i="2" l="1"/>
  <c r="C53" i="2" s="1"/>
  <c r="D24" i="3" s="1"/>
  <c r="E23" i="3" l="1"/>
  <c r="F23" i="3" s="1"/>
  <c r="E24" i="3"/>
  <c r="F24" i="3" s="1"/>
  <c r="E10" i="3"/>
  <c r="E13" i="3" s="1"/>
  <c r="G13" i="3" s="1"/>
  <c r="C13" i="3" s="1"/>
  <c r="D9" i="3"/>
  <c r="D12" i="3" s="1"/>
  <c r="F12" i="3" s="1"/>
  <c r="D10" i="3"/>
  <c r="D13" i="3" s="1"/>
  <c r="F13" i="3" s="1"/>
  <c r="D11" i="3"/>
  <c r="D14" i="3" s="1"/>
  <c r="F14" i="3" s="1"/>
  <c r="E9" i="3"/>
  <c r="E12" i="3" s="1"/>
  <c r="G12" i="3" s="1"/>
  <c r="E11" i="3"/>
  <c r="C11" i="3" s="1"/>
  <c r="C10" i="3" l="1"/>
  <c r="C12" i="3"/>
  <c r="C9" i="3"/>
  <c r="E14" i="3"/>
  <c r="G14" i="3" s="1"/>
  <c r="C14" i="3" s="1"/>
  <c r="N20" i="4" l="1"/>
  <c r="AC32" i="13" s="1"/>
  <c r="C23" i="3"/>
  <c r="C18" i="3"/>
  <c r="T33" i="4" s="1"/>
  <c r="D33" i="4" s="1"/>
  <c r="C19" i="3"/>
  <c r="T38" i="4" s="1"/>
  <c r="L38" i="4" s="1"/>
  <c r="C24" i="3"/>
  <c r="C21" i="3"/>
  <c r="T34" i="4" s="1"/>
  <c r="C17" i="3"/>
  <c r="T28" i="4" s="1"/>
  <c r="C15" i="3"/>
  <c r="F24" i="4" s="1"/>
  <c r="C20" i="3"/>
  <c r="T29" i="4" s="1"/>
  <c r="E30" i="4" s="1"/>
  <c r="C25" i="3"/>
  <c r="P23" i="4"/>
  <c r="AJ32" i="13" s="1"/>
  <c r="C22" i="3"/>
  <c r="T39" i="4" s="1"/>
  <c r="M40" i="4" s="1"/>
  <c r="D41" i="4" s="1"/>
  <c r="L23" i="4"/>
  <c r="D38" i="4" l="1"/>
  <c r="L33" i="4"/>
  <c r="M35" i="4"/>
  <c r="D36" i="4" s="1"/>
  <c r="L34" i="4"/>
  <c r="E35" i="4"/>
  <c r="D34" i="4"/>
  <c r="K12" i="13" s="1"/>
  <c r="E40" i="4"/>
  <c r="M30" i="4"/>
  <c r="D31" i="4" s="1"/>
  <c r="L29" i="4"/>
  <c r="D29" i="4"/>
  <c r="K11" i="13" s="1"/>
  <c r="V13" i="13"/>
  <c r="D39" i="4"/>
  <c r="K13" i="13" s="1"/>
  <c r="D28" i="4"/>
  <c r="L28" i="4"/>
  <c r="U40" i="13"/>
  <c r="U44" i="13" s="1"/>
  <c r="V11" i="13" l="1"/>
  <c r="V12" i="13"/>
  <c r="U43" i="13"/>
  <c r="X44" i="13" s="1"/>
  <c r="I35" i="4"/>
  <c r="D26" i="3"/>
  <c r="E27" i="3" s="1"/>
  <c r="I30" i="4"/>
  <c r="I40" i="4"/>
  <c r="U45" i="13" l="1"/>
  <c r="E26" i="3"/>
  <c r="J43" i="4" s="1"/>
  <c r="U46" i="13" s="1"/>
  <c r="D37" i="3"/>
  <c r="E38" i="3" s="1"/>
  <c r="C36" i="3" s="1"/>
  <c r="D28" i="3"/>
  <c r="L43" i="4"/>
  <c r="X46" i="13" s="1"/>
  <c r="E37" i="3" l="1"/>
  <c r="C35" i="3" s="1"/>
  <c r="C38" i="3" s="1"/>
  <c r="I58" i="4" s="1"/>
  <c r="E29" i="3"/>
  <c r="C27" i="3" s="1"/>
  <c r="Q43" i="4" s="1"/>
  <c r="AD44" i="13" s="1"/>
  <c r="E28" i="3"/>
  <c r="C26" i="3" s="1"/>
  <c r="O43" i="4" s="1"/>
  <c r="AA44" i="13" s="1"/>
  <c r="C37" i="3" l="1"/>
  <c r="G58" i="4" s="1"/>
  <c r="B18" i="5" s="1"/>
  <c r="C18" i="5" s="1"/>
  <c r="L58" i="4" s="1"/>
  <c r="D18" i="5" l="1"/>
  <c r="Z58" i="4" s="1"/>
  <c r="AG44" i="13" s="1"/>
</calcChain>
</file>

<file path=xl/comments1.xml><?xml version="1.0" encoding="utf-8"?>
<comments xmlns="http://schemas.openxmlformats.org/spreadsheetml/2006/main">
  <authors>
    <author>新妻　和哉　事務長</author>
  </authors>
  <commentList>
    <comment ref="D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除算日の合計
（病休部分）</t>
        </r>
      </text>
    </comment>
    <comment ref="D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除算日の合計</t>
        </r>
      </text>
    </comment>
  </commentList>
</comments>
</file>

<file path=xl/sharedStrings.xml><?xml version="1.0" encoding="utf-8"?>
<sst xmlns="http://schemas.openxmlformats.org/spreadsheetml/2006/main" count="535" uniqueCount="257">
  <si>
    <t>祝日登録諸注意</t>
    <rPh sb="0" eb="2">
      <t>シュクジツ</t>
    </rPh>
    <rPh sb="2" eb="4">
      <t>トウロク</t>
    </rPh>
    <rPh sb="4" eb="5">
      <t>ショ</t>
    </rPh>
    <rPh sb="5" eb="7">
      <t>チュウイ</t>
    </rPh>
    <phoneticPr fontId="3"/>
  </si>
  <si>
    <t>・このシートには使用する年度以降の祝日（振替休日・条例による休日）を登録します。</t>
    <rPh sb="8" eb="10">
      <t>シヨウ</t>
    </rPh>
    <rPh sb="12" eb="14">
      <t>ネンド</t>
    </rPh>
    <rPh sb="14" eb="16">
      <t>イコウ</t>
    </rPh>
    <rPh sb="17" eb="19">
      <t>シュクジツ</t>
    </rPh>
    <rPh sb="20" eb="21">
      <t>フ</t>
    </rPh>
    <rPh sb="21" eb="22">
      <t>カ</t>
    </rPh>
    <rPh sb="22" eb="24">
      <t>キュウジツ</t>
    </rPh>
    <rPh sb="25" eb="27">
      <t>ジョウレイ</t>
    </rPh>
    <rPh sb="30" eb="32">
      <t>キュウジツ</t>
    </rPh>
    <rPh sb="34" eb="36">
      <t>トウロク</t>
    </rPh>
    <phoneticPr fontId="3"/>
  </si>
  <si>
    <t>・祝日は，内閣府のWebサイトの「国民の休日」から最新の情報を入手することができます。</t>
    <rPh sb="1" eb="3">
      <t>シュクジツ</t>
    </rPh>
    <rPh sb="5" eb="8">
      <t>ナイカクフ</t>
    </rPh>
    <rPh sb="17" eb="19">
      <t>コクミン</t>
    </rPh>
    <rPh sb="20" eb="22">
      <t>キュウジツ</t>
    </rPh>
    <rPh sb="25" eb="27">
      <t>サイシン</t>
    </rPh>
    <rPh sb="28" eb="30">
      <t>ジョウホウ</t>
    </rPh>
    <rPh sb="31" eb="33">
      <t>ニュウシュ</t>
    </rPh>
    <phoneticPr fontId="3"/>
  </si>
  <si>
    <t>アドレス</t>
    <phoneticPr fontId="3"/>
  </si>
  <si>
    <t>http://www8.cao.go.jp/chosei/shukujitsu/gaiyou.html</t>
    <phoneticPr fontId="3"/>
  </si>
  <si>
    <t>祝日表</t>
    <rPh sb="0" eb="2">
      <t>シュクジツ</t>
    </rPh>
    <rPh sb="2" eb="3">
      <t>ヒョウ</t>
    </rPh>
    <phoneticPr fontId="3"/>
  </si>
  <si>
    <t>祝日名称</t>
    <rPh sb="0" eb="2">
      <t>シュクジツ</t>
    </rPh>
    <rPh sb="2" eb="4">
      <t>メイショウ</t>
    </rPh>
    <phoneticPr fontId="3"/>
  </si>
  <si>
    <t>年月日</t>
    <rPh sb="0" eb="3">
      <t>ネンガッピ</t>
    </rPh>
    <phoneticPr fontId="3"/>
  </si>
  <si>
    <t>元日</t>
  </si>
  <si>
    <t>成人の日</t>
  </si>
  <si>
    <t>建国記念の日</t>
  </si>
  <si>
    <t>春分の日</t>
  </si>
  <si>
    <t>憲法記念日</t>
  </si>
  <si>
    <t>海の日</t>
  </si>
  <si>
    <t>敬老の日</t>
  </si>
  <si>
    <t>秋分の日</t>
  </si>
  <si>
    <t>体育の日</t>
  </si>
  <si>
    <t>文化の日</t>
  </si>
  <si>
    <t>勤労感謝の日</t>
  </si>
  <si>
    <t>天皇誕生日</t>
  </si>
  <si>
    <t>こどもの日</t>
  </si>
  <si>
    <t>休暇期間１</t>
    <rPh sb="0" eb="2">
      <t>キュウカ</t>
    </rPh>
    <rPh sb="2" eb="4">
      <t>キカン</t>
    </rPh>
    <phoneticPr fontId="2"/>
  </si>
  <si>
    <t>休暇期間２</t>
    <rPh sb="0" eb="2">
      <t>キュウカ</t>
    </rPh>
    <rPh sb="2" eb="4">
      <t>キカン</t>
    </rPh>
    <phoneticPr fontId="2"/>
  </si>
  <si>
    <t>休暇期間３</t>
    <rPh sb="0" eb="2">
      <t>キュウカ</t>
    </rPh>
    <rPh sb="2" eb="4">
      <t>キカン</t>
    </rPh>
    <phoneticPr fontId="2"/>
  </si>
  <si>
    <t>休職期間</t>
    <rPh sb="0" eb="2">
      <t>キュウショク</t>
    </rPh>
    <rPh sb="2" eb="4">
      <t>キカン</t>
    </rPh>
    <phoneticPr fontId="2"/>
  </si>
  <si>
    <t>～</t>
    <phoneticPr fontId="2"/>
  </si>
  <si>
    <t>延日数１</t>
    <rPh sb="0" eb="1">
      <t>ノ</t>
    </rPh>
    <rPh sb="1" eb="3">
      <t>ニッスウ</t>
    </rPh>
    <phoneticPr fontId="2"/>
  </si>
  <si>
    <t>延日数２</t>
    <rPh sb="0" eb="1">
      <t>ノ</t>
    </rPh>
    <rPh sb="1" eb="3">
      <t>ニッスウ</t>
    </rPh>
    <phoneticPr fontId="2"/>
  </si>
  <si>
    <t>延日数３</t>
    <rPh sb="0" eb="1">
      <t>ノ</t>
    </rPh>
    <rPh sb="1" eb="3">
      <t>ニッスウ</t>
    </rPh>
    <phoneticPr fontId="2"/>
  </si>
  <si>
    <t>週休日１</t>
    <rPh sb="0" eb="1">
      <t>シュウ</t>
    </rPh>
    <rPh sb="1" eb="3">
      <t>キュウジツ</t>
    </rPh>
    <phoneticPr fontId="2"/>
  </si>
  <si>
    <t>週休日２</t>
    <rPh sb="0" eb="1">
      <t>シュウ</t>
    </rPh>
    <rPh sb="1" eb="3">
      <t>キュウジツ</t>
    </rPh>
    <phoneticPr fontId="2"/>
  </si>
  <si>
    <t>週休日３</t>
    <rPh sb="0" eb="1">
      <t>シュウ</t>
    </rPh>
    <rPh sb="1" eb="3">
      <t>キュウジツ</t>
    </rPh>
    <phoneticPr fontId="2"/>
  </si>
  <si>
    <t>勤務しなかった期間１</t>
    <rPh sb="0" eb="2">
      <t>キンム</t>
    </rPh>
    <rPh sb="7" eb="9">
      <t>キカン</t>
    </rPh>
    <phoneticPr fontId="2"/>
  </si>
  <si>
    <t>勤務しなかった期間２</t>
    <rPh sb="0" eb="2">
      <t>キンム</t>
    </rPh>
    <rPh sb="7" eb="9">
      <t>キカン</t>
    </rPh>
    <phoneticPr fontId="2"/>
  </si>
  <si>
    <t>勤務しなかった期間３</t>
    <rPh sb="0" eb="2">
      <t>キンム</t>
    </rPh>
    <rPh sb="7" eb="9">
      <t>キカン</t>
    </rPh>
    <phoneticPr fontId="2"/>
  </si>
  <si>
    <t>休日１</t>
    <rPh sb="0" eb="2">
      <t>キュウジツ</t>
    </rPh>
    <phoneticPr fontId="2"/>
  </si>
  <si>
    <t>休日２</t>
    <rPh sb="0" eb="2">
      <t>キュウジツ</t>
    </rPh>
    <phoneticPr fontId="2"/>
  </si>
  <si>
    <t>休日３</t>
    <rPh sb="0" eb="2">
      <t>キュウジツ</t>
    </rPh>
    <phoneticPr fontId="2"/>
  </si>
  <si>
    <t>除算の可否</t>
    <rPh sb="0" eb="2">
      <t>ジョサン</t>
    </rPh>
    <rPh sb="3" eb="5">
      <t>カヒ</t>
    </rPh>
    <phoneticPr fontId="2"/>
  </si>
  <si>
    <t>曜日</t>
    <rPh sb="0" eb="2">
      <t>ヨウビ</t>
    </rPh>
    <phoneticPr fontId="2"/>
  </si>
  <si>
    <t>　注） 土日と重なる祝日，休日は登録しないでください。</t>
    <rPh sb="1" eb="2">
      <t>チュウ</t>
    </rPh>
    <rPh sb="4" eb="6">
      <t>ドニチ</t>
    </rPh>
    <rPh sb="7" eb="8">
      <t>カサ</t>
    </rPh>
    <rPh sb="10" eb="12">
      <t>シュクジツ</t>
    </rPh>
    <rPh sb="13" eb="15">
      <t>キュウジツ</t>
    </rPh>
    <rPh sb="16" eb="18">
      <t>トウロク</t>
    </rPh>
    <phoneticPr fontId="2"/>
  </si>
  <si>
    <t>６月期</t>
    <rPh sb="1" eb="3">
      <t>ガツキ</t>
    </rPh>
    <phoneticPr fontId="2"/>
  </si>
  <si>
    <t>月期末勤勉手当</t>
    <rPh sb="0" eb="1">
      <t>ツキ</t>
    </rPh>
    <rPh sb="1" eb="3">
      <t>キマツ</t>
    </rPh>
    <rPh sb="3" eb="5">
      <t>キンベン</t>
    </rPh>
    <rPh sb="5" eb="7">
      <t>テアテ</t>
    </rPh>
    <phoneticPr fontId="2"/>
  </si>
  <si>
    <t>１２月期</t>
    <rPh sb="2" eb="4">
      <t>ガツキ</t>
    </rPh>
    <phoneticPr fontId="2"/>
  </si>
  <si>
    <t>６月</t>
    <rPh sb="1" eb="2">
      <t>ガツ</t>
    </rPh>
    <phoneticPr fontId="2"/>
  </si>
  <si>
    <t>１２月</t>
    <rPh sb="2" eb="3">
      <t>ガツ</t>
    </rPh>
    <phoneticPr fontId="2"/>
  </si>
  <si>
    <t>除算期間の月計算１</t>
    <rPh sb="0" eb="2">
      <t>ジョサン</t>
    </rPh>
    <rPh sb="2" eb="4">
      <t>キカン</t>
    </rPh>
    <rPh sb="5" eb="6">
      <t>ツキ</t>
    </rPh>
    <rPh sb="6" eb="8">
      <t>ケイサン</t>
    </rPh>
    <phoneticPr fontId="2"/>
  </si>
  <si>
    <t>除算期間の月計算２</t>
    <rPh sb="0" eb="2">
      <t>ジョサン</t>
    </rPh>
    <rPh sb="2" eb="4">
      <t>キカン</t>
    </rPh>
    <rPh sb="5" eb="6">
      <t>ツキ</t>
    </rPh>
    <rPh sb="6" eb="8">
      <t>ケイサン</t>
    </rPh>
    <phoneticPr fontId="2"/>
  </si>
  <si>
    <t>除算期間の月計算３</t>
    <rPh sb="0" eb="2">
      <t>ジョサン</t>
    </rPh>
    <rPh sb="2" eb="4">
      <t>キカン</t>
    </rPh>
    <rPh sb="5" eb="6">
      <t>ツキ</t>
    </rPh>
    <rPh sb="6" eb="8">
      <t>ケイサン</t>
    </rPh>
    <phoneticPr fontId="2"/>
  </si>
  <si>
    <t>除算期間の日計算１</t>
    <rPh sb="0" eb="2">
      <t>ジョサン</t>
    </rPh>
    <rPh sb="2" eb="4">
      <t>キカン</t>
    </rPh>
    <rPh sb="5" eb="6">
      <t>ヒ</t>
    </rPh>
    <rPh sb="6" eb="8">
      <t>ケイサン</t>
    </rPh>
    <phoneticPr fontId="2"/>
  </si>
  <si>
    <t>除算期間の日計算２</t>
    <rPh sb="0" eb="2">
      <t>ジョサン</t>
    </rPh>
    <rPh sb="2" eb="4">
      <t>キカン</t>
    </rPh>
    <rPh sb="5" eb="6">
      <t>ヒ</t>
    </rPh>
    <rPh sb="6" eb="8">
      <t>ケイサン</t>
    </rPh>
    <phoneticPr fontId="2"/>
  </si>
  <si>
    <t>除算期間の日計算３</t>
    <rPh sb="0" eb="2">
      <t>ジョサン</t>
    </rPh>
    <rPh sb="2" eb="4">
      <t>キカン</t>
    </rPh>
    <rPh sb="5" eb="6">
      <t>ヒ</t>
    </rPh>
    <rPh sb="6" eb="8">
      <t>ケイサン</t>
    </rPh>
    <phoneticPr fontId="2"/>
  </si>
  <si>
    <t>残りの日数１</t>
    <rPh sb="0" eb="1">
      <t>ノコ</t>
    </rPh>
    <rPh sb="3" eb="5">
      <t>ニッスウ</t>
    </rPh>
    <phoneticPr fontId="2"/>
  </si>
  <si>
    <t>残りの日数２</t>
    <rPh sb="0" eb="1">
      <t>ノコ</t>
    </rPh>
    <rPh sb="3" eb="5">
      <t>ニッスウ</t>
    </rPh>
    <phoneticPr fontId="2"/>
  </si>
  <si>
    <t>残りの日数３</t>
    <rPh sb="0" eb="1">
      <t>ノコ</t>
    </rPh>
    <rPh sb="3" eb="5">
      <t>ニッスウ</t>
    </rPh>
    <phoneticPr fontId="2"/>
  </si>
  <si>
    <t>学校名：</t>
    <rPh sb="0" eb="3">
      <t>ガッコウメイ</t>
    </rPh>
    <phoneticPr fontId="2"/>
  </si>
  <si>
    <t>コード：</t>
    <phoneticPr fontId="2"/>
  </si>
  <si>
    <t>１．勤勉手当にかかる病気休暇，介護休暇の除算の判断</t>
    <rPh sb="2" eb="4">
      <t>キンベン</t>
    </rPh>
    <rPh sb="4" eb="6">
      <t>テアテ</t>
    </rPh>
    <rPh sb="10" eb="12">
      <t>ビョウキ</t>
    </rPh>
    <rPh sb="12" eb="14">
      <t>キュウカ</t>
    </rPh>
    <rPh sb="15" eb="17">
      <t>カイゴ</t>
    </rPh>
    <rPh sb="17" eb="19">
      <t>キュウカ</t>
    </rPh>
    <rPh sb="20" eb="22">
      <t>ジョサン</t>
    </rPh>
    <rPh sb="23" eb="25">
      <t>ハンダン</t>
    </rPh>
    <phoneticPr fontId="2"/>
  </si>
  <si>
    <t>⑵　病気休暇，介護休暇の延日数</t>
    <rPh sb="2" eb="4">
      <t>ビョウキ</t>
    </rPh>
    <rPh sb="4" eb="6">
      <t>キュウカ</t>
    </rPh>
    <rPh sb="7" eb="9">
      <t>カイゴ</t>
    </rPh>
    <rPh sb="9" eb="11">
      <t>キュウカ</t>
    </rPh>
    <rPh sb="12" eb="13">
      <t>ノ</t>
    </rPh>
    <rPh sb="13" eb="15">
      <t>ニッスウ</t>
    </rPh>
    <phoneticPr fontId="2"/>
  </si>
  <si>
    <t>⑶　上記期間に含まれる週休日</t>
    <rPh sb="2" eb="4">
      <t>ジョウキ</t>
    </rPh>
    <rPh sb="4" eb="6">
      <t>キカン</t>
    </rPh>
    <rPh sb="7" eb="8">
      <t>フク</t>
    </rPh>
    <rPh sb="11" eb="12">
      <t>シュウ</t>
    </rPh>
    <rPh sb="12" eb="14">
      <t>キュウジツ</t>
    </rPh>
    <phoneticPr fontId="2"/>
  </si>
  <si>
    <t>⑷　上記期間に含まれる休日</t>
    <rPh sb="2" eb="4">
      <t>ジョウキ</t>
    </rPh>
    <rPh sb="4" eb="6">
      <t>キカン</t>
    </rPh>
    <rPh sb="7" eb="8">
      <t>フク</t>
    </rPh>
    <rPh sb="11" eb="13">
      <t>キュウジツ</t>
    </rPh>
    <phoneticPr fontId="2"/>
  </si>
  <si>
    <t>⑸　勤務しなかった期間の日数</t>
    <rPh sb="2" eb="4">
      <t>キンム</t>
    </rPh>
    <rPh sb="9" eb="11">
      <t>キカン</t>
    </rPh>
    <rPh sb="12" eb="14">
      <t>ニッスウ</t>
    </rPh>
    <phoneticPr fontId="2"/>
  </si>
  <si>
    <t>－</t>
    <phoneticPr fontId="2"/>
  </si>
  <si>
    <t>＝</t>
    <phoneticPr fontId="2"/>
  </si>
  <si>
    <t>日</t>
    <rPh sb="0" eb="1">
      <t>ニチ</t>
    </rPh>
    <phoneticPr fontId="2"/>
  </si>
  <si>
    <t>∴</t>
    <phoneticPr fontId="2"/>
  </si>
  <si>
    <t>２．除算期間の計算</t>
    <rPh sb="2" eb="4">
      <t>ジョサン</t>
    </rPh>
    <rPh sb="4" eb="6">
      <t>キカン</t>
    </rPh>
    <rPh sb="7" eb="9">
      <t>ケイサン</t>
    </rPh>
    <phoneticPr fontId="2"/>
  </si>
  <si>
    <t>①</t>
    <phoneticPr fontId="2"/>
  </si>
  <si>
    <t>②</t>
    <phoneticPr fontId="2"/>
  </si>
  <si>
    <t>③</t>
    <phoneticPr fontId="2"/>
  </si>
  <si>
    <t>月</t>
    <rPh sb="0" eb="1">
      <t>ツキ</t>
    </rPh>
    <phoneticPr fontId="2"/>
  </si>
  <si>
    <t>－</t>
    <phoneticPr fontId="2"/>
  </si>
  <si>
    <t>日</t>
    <rPh sb="0" eb="1">
      <t>ニチ</t>
    </rPh>
    <phoneticPr fontId="2"/>
  </si>
  <si>
    <t>＝</t>
    <phoneticPr fontId="2"/>
  </si>
  <si>
    <t>②</t>
    <phoneticPr fontId="2"/>
  </si>
  <si>
    <t>③</t>
    <phoneticPr fontId="2"/>
  </si>
  <si>
    <t>⑴　病気休暇，介護休暇の期間</t>
    <rPh sb="2" eb="4">
      <t>ビョウキ</t>
    </rPh>
    <rPh sb="4" eb="6">
      <t>キュウカ</t>
    </rPh>
    <rPh sb="7" eb="9">
      <t>カイゴ</t>
    </rPh>
    <rPh sb="9" eb="11">
      <t>キュウカ</t>
    </rPh>
    <rPh sb="12" eb="14">
      <t>キカン</t>
    </rPh>
    <phoneticPr fontId="2"/>
  </si>
  <si>
    <t>月</t>
    <rPh sb="0" eb="1">
      <t>ツキ</t>
    </rPh>
    <phoneticPr fontId="2"/>
  </si>
  <si>
    <t>勤務した期間（月）</t>
    <rPh sb="0" eb="2">
      <t>キンム</t>
    </rPh>
    <rPh sb="4" eb="6">
      <t>キカン</t>
    </rPh>
    <rPh sb="7" eb="8">
      <t>ツキ</t>
    </rPh>
    <phoneticPr fontId="2"/>
  </si>
  <si>
    <t>勤務した期間（日）</t>
    <rPh sb="0" eb="2">
      <t>キンム</t>
    </rPh>
    <rPh sb="4" eb="6">
      <t>キカン</t>
    </rPh>
    <rPh sb="7" eb="8">
      <t>ヒ</t>
    </rPh>
    <phoneticPr fontId="2"/>
  </si>
  <si>
    <t>３．有給休職の期間</t>
    <rPh sb="2" eb="4">
      <t>ユウキュウ</t>
    </rPh>
    <rPh sb="4" eb="6">
      <t>キュウショク</t>
    </rPh>
    <rPh sb="7" eb="9">
      <t>キカン</t>
    </rPh>
    <phoneticPr fontId="2"/>
  </si>
  <si>
    <t>除算期間の月計算（休職）</t>
    <rPh sb="0" eb="2">
      <t>ジョサン</t>
    </rPh>
    <rPh sb="2" eb="4">
      <t>キカン</t>
    </rPh>
    <rPh sb="5" eb="6">
      <t>ツキ</t>
    </rPh>
    <rPh sb="6" eb="8">
      <t>ケイサン</t>
    </rPh>
    <rPh sb="9" eb="11">
      <t>キュウショク</t>
    </rPh>
    <phoneticPr fontId="2"/>
  </si>
  <si>
    <t>残りの日数（休職）</t>
    <rPh sb="0" eb="1">
      <t>ノコ</t>
    </rPh>
    <rPh sb="3" eb="5">
      <t>ニッスウ</t>
    </rPh>
    <rPh sb="6" eb="8">
      <t>キュウショク</t>
    </rPh>
    <phoneticPr fontId="2"/>
  </si>
  <si>
    <t>除算期間の計算</t>
    <rPh sb="0" eb="2">
      <t>ジョサン</t>
    </rPh>
    <rPh sb="2" eb="4">
      <t>キカン</t>
    </rPh>
    <rPh sb="5" eb="7">
      <t>ケイサン</t>
    </rPh>
    <phoneticPr fontId="2"/>
  </si>
  <si>
    <t>１５日未満</t>
    <rPh sb="2" eb="3">
      <t>ニチ</t>
    </rPh>
    <rPh sb="3" eb="5">
      <t>ミマン</t>
    </rPh>
    <phoneticPr fontId="2"/>
  </si>
  <si>
    <t>１５日以上１ヶ月未満</t>
    <rPh sb="2" eb="3">
      <t>ニチ</t>
    </rPh>
    <rPh sb="3" eb="5">
      <t>イジョウ</t>
    </rPh>
    <rPh sb="7" eb="8">
      <t>ゲツ</t>
    </rPh>
    <rPh sb="8" eb="10">
      <t>ミマン</t>
    </rPh>
    <phoneticPr fontId="2"/>
  </si>
  <si>
    <t>１ヶ月以上１ヶ月１５日未満</t>
    <rPh sb="2" eb="3">
      <t>ゲツ</t>
    </rPh>
    <rPh sb="3" eb="5">
      <t>イジョウ</t>
    </rPh>
    <rPh sb="7" eb="8">
      <t>ゲツ</t>
    </rPh>
    <rPh sb="10" eb="11">
      <t>ニチ</t>
    </rPh>
    <rPh sb="11" eb="13">
      <t>ミマン</t>
    </rPh>
    <phoneticPr fontId="2"/>
  </si>
  <si>
    <t>１ヶ月１５日以上２ヶ月未満</t>
    <rPh sb="2" eb="3">
      <t>ゲツ</t>
    </rPh>
    <rPh sb="5" eb="6">
      <t>ニチ</t>
    </rPh>
    <rPh sb="6" eb="8">
      <t>イジョウ</t>
    </rPh>
    <rPh sb="10" eb="11">
      <t>ゲツ</t>
    </rPh>
    <rPh sb="11" eb="13">
      <t>ミマン</t>
    </rPh>
    <phoneticPr fontId="2"/>
  </si>
  <si>
    <t>２ヶ月以上２ヶ月１５日未満</t>
    <rPh sb="2" eb="3">
      <t>ゲツ</t>
    </rPh>
    <rPh sb="3" eb="5">
      <t>イジョウ</t>
    </rPh>
    <rPh sb="7" eb="8">
      <t>ゲツ</t>
    </rPh>
    <rPh sb="10" eb="11">
      <t>ニチ</t>
    </rPh>
    <rPh sb="11" eb="13">
      <t>ミマン</t>
    </rPh>
    <phoneticPr fontId="2"/>
  </si>
  <si>
    <t>２ヶ月１５日以上３ヶ月未満</t>
    <rPh sb="2" eb="3">
      <t>ゲツ</t>
    </rPh>
    <rPh sb="5" eb="6">
      <t>ニチ</t>
    </rPh>
    <rPh sb="6" eb="8">
      <t>イジョウ</t>
    </rPh>
    <rPh sb="10" eb="11">
      <t>ゲツ</t>
    </rPh>
    <rPh sb="11" eb="13">
      <t>ミマン</t>
    </rPh>
    <phoneticPr fontId="2"/>
  </si>
  <si>
    <t>３ヶ月以上３ヶ月１５日未満</t>
    <rPh sb="2" eb="3">
      <t>ゲツ</t>
    </rPh>
    <rPh sb="3" eb="5">
      <t>イジョウ</t>
    </rPh>
    <rPh sb="7" eb="8">
      <t>ゲツ</t>
    </rPh>
    <rPh sb="10" eb="11">
      <t>ニチ</t>
    </rPh>
    <rPh sb="11" eb="13">
      <t>ミマン</t>
    </rPh>
    <phoneticPr fontId="2"/>
  </si>
  <si>
    <t>３ヶ月１５日以上４ヶ月未満</t>
    <rPh sb="2" eb="3">
      <t>ゲツ</t>
    </rPh>
    <rPh sb="5" eb="6">
      <t>ニチ</t>
    </rPh>
    <rPh sb="6" eb="8">
      <t>イジョウ</t>
    </rPh>
    <rPh sb="10" eb="11">
      <t>ゲツ</t>
    </rPh>
    <rPh sb="11" eb="13">
      <t>ミマン</t>
    </rPh>
    <phoneticPr fontId="2"/>
  </si>
  <si>
    <t>４ヶ月以上４ヶ月１５日未満</t>
    <rPh sb="2" eb="3">
      <t>ゲツ</t>
    </rPh>
    <rPh sb="3" eb="5">
      <t>イジョウ</t>
    </rPh>
    <rPh sb="7" eb="8">
      <t>ゲツ</t>
    </rPh>
    <rPh sb="10" eb="11">
      <t>ニチ</t>
    </rPh>
    <rPh sb="11" eb="13">
      <t>ミマン</t>
    </rPh>
    <phoneticPr fontId="2"/>
  </si>
  <si>
    <t>４ヶ月１５日以上５ヶ月未満</t>
    <rPh sb="2" eb="3">
      <t>ゲツ</t>
    </rPh>
    <rPh sb="5" eb="6">
      <t>ニチ</t>
    </rPh>
    <rPh sb="6" eb="8">
      <t>イジョウ</t>
    </rPh>
    <rPh sb="10" eb="11">
      <t>ゲツ</t>
    </rPh>
    <rPh sb="11" eb="13">
      <t>ミマン</t>
    </rPh>
    <phoneticPr fontId="2"/>
  </si>
  <si>
    <t>５ヶ月以上５ヶ月１５日未満</t>
    <rPh sb="2" eb="3">
      <t>ゲツ</t>
    </rPh>
    <rPh sb="3" eb="5">
      <t>イジョウ</t>
    </rPh>
    <rPh sb="7" eb="8">
      <t>ゲツ</t>
    </rPh>
    <rPh sb="10" eb="11">
      <t>ニチ</t>
    </rPh>
    <rPh sb="11" eb="13">
      <t>ミマン</t>
    </rPh>
    <phoneticPr fontId="2"/>
  </si>
  <si>
    <t>５ヶ月１５日以上６ヶ月未満</t>
    <rPh sb="2" eb="3">
      <t>ゲツ</t>
    </rPh>
    <rPh sb="5" eb="6">
      <t>ニチ</t>
    </rPh>
    <rPh sb="6" eb="8">
      <t>イジョウ</t>
    </rPh>
    <rPh sb="10" eb="11">
      <t>ゲツ</t>
    </rPh>
    <rPh sb="11" eb="13">
      <t>ミマン</t>
    </rPh>
    <phoneticPr fontId="2"/>
  </si>
  <si>
    <t>６ヶ月</t>
    <rPh sb="2" eb="3">
      <t>ゲツ</t>
    </rPh>
    <phoneticPr fontId="2"/>
  </si>
  <si>
    <t>５．期末手当については除算されない（１００／１００）</t>
    <rPh sb="2" eb="4">
      <t>キマツ</t>
    </rPh>
    <rPh sb="4" eb="6">
      <t>テアテ</t>
    </rPh>
    <rPh sb="11" eb="13">
      <t>ジョサン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</si>
  <si>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</si>
  <si>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</si>
  <si>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∴勤務期間率</t>
    <rPh sb="1" eb="3">
      <t>キンム</t>
    </rPh>
    <rPh sb="3" eb="6">
      <t>キカンリツ</t>
    </rPh>
    <phoneticPr fontId="2"/>
  </si>
  <si>
    <t>勤務した期間（月計）</t>
    <rPh sb="0" eb="2">
      <t>キンム</t>
    </rPh>
    <rPh sb="4" eb="6">
      <t>キカン</t>
    </rPh>
    <rPh sb="7" eb="9">
      <t>ゲッケイ</t>
    </rPh>
    <phoneticPr fontId="2"/>
  </si>
  <si>
    <t>勤務した期間（日計）</t>
    <rPh sb="0" eb="2">
      <t>キンム</t>
    </rPh>
    <rPh sb="4" eb="6">
      <t>キカン</t>
    </rPh>
    <rPh sb="7" eb="8">
      <t>ヒ</t>
    </rPh>
    <rPh sb="8" eb="9">
      <t>ケイ</t>
    </rPh>
    <phoneticPr fontId="2"/>
  </si>
  <si>
    <t>除算期間（月計）</t>
    <rPh sb="0" eb="2">
      <t>ジョサン</t>
    </rPh>
    <rPh sb="2" eb="4">
      <t>キカン</t>
    </rPh>
    <rPh sb="5" eb="6">
      <t>ツキ</t>
    </rPh>
    <rPh sb="6" eb="7">
      <t>ケイ</t>
    </rPh>
    <phoneticPr fontId="2"/>
  </si>
  <si>
    <t>除算期間（日計）</t>
    <rPh sb="0" eb="2">
      <t>ジョサン</t>
    </rPh>
    <rPh sb="2" eb="4">
      <t>キカン</t>
    </rPh>
    <rPh sb="5" eb="6">
      <t>ニチ</t>
    </rPh>
    <rPh sb="6" eb="7">
      <t>ケイ</t>
    </rPh>
    <phoneticPr fontId="2"/>
  </si>
  <si>
    <t>氏　　　名</t>
    <rPh sb="0" eb="1">
      <t>シ</t>
    </rPh>
    <rPh sb="4" eb="5">
      <t>メイ</t>
    </rPh>
    <phoneticPr fontId="2"/>
  </si>
  <si>
    <t>職　　　名</t>
    <rPh sb="0" eb="1">
      <t>ショク</t>
    </rPh>
    <rPh sb="4" eb="5">
      <t>メイ</t>
    </rPh>
    <phoneticPr fontId="2"/>
  </si>
  <si>
    <t>コ　ー　ド</t>
    <phoneticPr fontId="2"/>
  </si>
  <si>
    <t>学　校　名</t>
    <rPh sb="0" eb="1">
      <t>ガク</t>
    </rPh>
    <rPh sb="2" eb="3">
      <t>コウ</t>
    </rPh>
    <rPh sb="4" eb="5">
      <t>メイ</t>
    </rPh>
    <phoneticPr fontId="2"/>
  </si>
  <si>
    <t>勤　勉　手　当</t>
    <rPh sb="0" eb="1">
      <t>ツトム</t>
    </rPh>
    <rPh sb="2" eb="3">
      <t>ツトム</t>
    </rPh>
    <rPh sb="4" eb="5">
      <t>テ</t>
    </rPh>
    <rPh sb="6" eb="7">
      <t>トウ</t>
    </rPh>
    <phoneticPr fontId="2"/>
  </si>
  <si>
    <t>産前産後休暇期間</t>
    <rPh sb="0" eb="4">
      <t>サンゼンサンゴ</t>
    </rPh>
    <rPh sb="4" eb="6">
      <t>キュウカ</t>
    </rPh>
    <rPh sb="6" eb="8">
      <t>キカン</t>
    </rPh>
    <phoneticPr fontId="2"/>
  </si>
  <si>
    <t>育児休業の期間</t>
    <rPh sb="0" eb="2">
      <t>イクジ</t>
    </rPh>
    <rPh sb="2" eb="4">
      <t>キュウギョウ</t>
    </rPh>
    <rPh sb="5" eb="7">
      <t>キカン</t>
    </rPh>
    <phoneticPr fontId="2"/>
  </si>
  <si>
    <t>氏　　　　　　名</t>
    <rPh sb="0" eb="1">
      <t>シ</t>
    </rPh>
    <rPh sb="7" eb="8">
      <t>メイ</t>
    </rPh>
    <phoneticPr fontId="2"/>
  </si>
  <si>
    <t>職　　　　　　名</t>
    <rPh sb="0" eb="1">
      <t>ショク</t>
    </rPh>
    <rPh sb="7" eb="8">
      <t>メイ</t>
    </rPh>
    <phoneticPr fontId="2"/>
  </si>
  <si>
    <t>コ　　 ー 　　ド</t>
    <phoneticPr fontId="2"/>
  </si>
  <si>
    <t>学　　 校　　 名</t>
    <rPh sb="0" eb="1">
      <t>ガク</t>
    </rPh>
    <rPh sb="4" eb="5">
      <t>コウ</t>
    </rPh>
    <rPh sb="8" eb="9">
      <t>メイ</t>
    </rPh>
    <phoneticPr fontId="2"/>
  </si>
  <si>
    <t>１．産前産後休暇の期間</t>
    <rPh sb="2" eb="6">
      <t>サンゼンサンゴ</t>
    </rPh>
    <rPh sb="6" eb="8">
      <t>キュウカ</t>
    </rPh>
    <rPh sb="9" eb="11">
      <t>キカン</t>
    </rPh>
    <phoneticPr fontId="2"/>
  </si>
  <si>
    <t>２．育児休業の期間</t>
    <rPh sb="2" eb="4">
      <t>イクジ</t>
    </rPh>
    <rPh sb="4" eb="6">
      <t>キュウギョウ</t>
    </rPh>
    <rPh sb="7" eb="9">
      <t>キカン</t>
    </rPh>
    <phoneticPr fontId="2"/>
  </si>
  <si>
    <t>全期間育児休業を取得した？</t>
    <rPh sb="0" eb="3">
      <t>ゼンキカン</t>
    </rPh>
    <rPh sb="3" eb="5">
      <t>イクジ</t>
    </rPh>
    <rPh sb="5" eb="7">
      <t>キュウギョウ</t>
    </rPh>
    <rPh sb="8" eb="10">
      <t>シュトク</t>
    </rPh>
    <phoneticPr fontId="2"/>
  </si>
  <si>
    <t>３．育児休業の除算期間の計算</t>
    <rPh sb="2" eb="4">
      <t>イクジ</t>
    </rPh>
    <rPh sb="4" eb="6">
      <t>キュウギョウ</t>
    </rPh>
    <rPh sb="7" eb="9">
      <t>ジョサン</t>
    </rPh>
    <rPh sb="9" eb="11">
      <t>キカン</t>
    </rPh>
    <rPh sb="12" eb="14">
      <t>ケイサン</t>
    </rPh>
    <phoneticPr fontId="2"/>
  </si>
  <si>
    <t>４．期末手当にかかる在職期間割合</t>
    <rPh sb="2" eb="4">
      <t>キマツ</t>
    </rPh>
    <rPh sb="4" eb="6">
      <t>テアテ</t>
    </rPh>
    <rPh sb="10" eb="12">
      <t>ザイショク</t>
    </rPh>
    <rPh sb="12" eb="14">
      <t>キカン</t>
    </rPh>
    <rPh sb="14" eb="16">
      <t>ワリアイ</t>
    </rPh>
    <phoneticPr fontId="2"/>
  </si>
  <si>
    <t>除算期間</t>
    <rPh sb="0" eb="2">
      <t>ジョサン</t>
    </rPh>
    <rPh sb="2" eb="4">
      <t>キカン</t>
    </rPh>
    <phoneticPr fontId="2"/>
  </si>
  <si>
    <t>×</t>
    <phoneticPr fontId="2"/>
  </si>
  <si>
    <t>１／２</t>
    <phoneticPr fontId="2"/>
  </si>
  <si>
    <t>＝</t>
    <phoneticPr fontId="2"/>
  </si>
  <si>
    <t>育休除算期間の月計算</t>
    <rPh sb="0" eb="2">
      <t>イクキュウ</t>
    </rPh>
    <rPh sb="2" eb="4">
      <t>ジョサン</t>
    </rPh>
    <rPh sb="4" eb="6">
      <t>キカン</t>
    </rPh>
    <rPh sb="7" eb="8">
      <t>ツキ</t>
    </rPh>
    <rPh sb="8" eb="10">
      <t>ケイサン</t>
    </rPh>
    <phoneticPr fontId="2"/>
  </si>
  <si>
    <t>育休残りの日数</t>
    <rPh sb="0" eb="2">
      <t>イクキュウ</t>
    </rPh>
    <rPh sb="2" eb="3">
      <t>ノコ</t>
    </rPh>
    <rPh sb="5" eb="7">
      <t>ニッスウ</t>
    </rPh>
    <phoneticPr fontId="2"/>
  </si>
  <si>
    <t>育休除算期間の月計算（期末）</t>
    <rPh sb="0" eb="2">
      <t>イクキュウ</t>
    </rPh>
    <rPh sb="2" eb="4">
      <t>ジョサン</t>
    </rPh>
    <rPh sb="4" eb="6">
      <t>キカン</t>
    </rPh>
    <rPh sb="7" eb="8">
      <t>ツキ</t>
    </rPh>
    <rPh sb="8" eb="10">
      <t>ケイサン</t>
    </rPh>
    <rPh sb="11" eb="13">
      <t>キマツ</t>
    </rPh>
    <phoneticPr fontId="2"/>
  </si>
  <si>
    <t>育休除算期間の残りの日数（期末）</t>
    <rPh sb="0" eb="2">
      <t>イクキュウ</t>
    </rPh>
    <rPh sb="2" eb="4">
      <t>ジョサン</t>
    </rPh>
    <rPh sb="4" eb="6">
      <t>キカン</t>
    </rPh>
    <rPh sb="7" eb="8">
      <t>ノコ</t>
    </rPh>
    <rPh sb="10" eb="12">
      <t>ニッスウ</t>
    </rPh>
    <rPh sb="13" eb="15">
      <t>キマツ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</si>
  <si>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</si>
  <si>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</si>
  <si>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勤務期間</t>
    <rPh sb="0" eb="2">
      <t>キンム</t>
    </rPh>
    <rPh sb="2" eb="4">
      <t>キカン</t>
    </rPh>
    <phoneticPr fontId="2"/>
  </si>
  <si>
    <t>勤務期間</t>
    <rPh sb="0" eb="2">
      <t>キンム</t>
    </rPh>
    <rPh sb="2" eb="4">
      <t>キカン</t>
    </rPh>
    <phoneticPr fontId="2"/>
  </si>
  <si>
    <t>３ヶ月未満</t>
    <rPh sb="2" eb="3">
      <t>ゲツ</t>
    </rPh>
    <rPh sb="3" eb="5">
      <t>ミマン</t>
    </rPh>
    <phoneticPr fontId="2"/>
  </si>
  <si>
    <t>３ヶ月以上５ヶ月未満</t>
    <rPh sb="2" eb="3">
      <t>ゲツ</t>
    </rPh>
    <rPh sb="3" eb="5">
      <t>イジョウ</t>
    </rPh>
    <rPh sb="7" eb="8">
      <t>ゲツ</t>
    </rPh>
    <rPh sb="8" eb="10">
      <t>ミマン</t>
    </rPh>
    <phoneticPr fontId="2"/>
  </si>
  <si>
    <t>５ヶ月以上６ヶ月未満</t>
    <rPh sb="2" eb="3">
      <t>ゲツ</t>
    </rPh>
    <rPh sb="3" eb="5">
      <t>イジョウ</t>
    </rPh>
    <rPh sb="7" eb="8">
      <t>ゲツ</t>
    </rPh>
    <rPh sb="8" eb="10">
      <t>ミマン</t>
    </rPh>
    <phoneticPr fontId="2"/>
  </si>
  <si>
    <t>６ヶ月</t>
    <rPh sb="2" eb="3">
      <t>ゲツ</t>
    </rPh>
    <phoneticPr fontId="2"/>
  </si>
  <si>
    <t>産休と育休は連続している？</t>
    <rPh sb="0" eb="2">
      <t>サンキュウ</t>
    </rPh>
    <rPh sb="3" eb="5">
      <t>イクキュウ</t>
    </rPh>
    <rPh sb="6" eb="8">
      <t>レンゾク</t>
    </rPh>
    <phoneticPr fontId="2"/>
  </si>
  <si>
    <t>全期間休み？</t>
    <rPh sb="0" eb="3">
      <t>ゼンキカン</t>
    </rPh>
    <rPh sb="3" eb="4">
      <t>ヤス</t>
    </rPh>
    <phoneticPr fontId="2"/>
  </si>
  <si>
    <t>基準日は産休？</t>
    <rPh sb="0" eb="3">
      <t>キジュンビ</t>
    </rPh>
    <rPh sb="4" eb="6">
      <t>サンキュウ</t>
    </rPh>
    <phoneticPr fontId="2"/>
  </si>
  <si>
    <t>４．勤勉手当にかかる勤務期間率</t>
    <rPh sb="2" eb="4">
      <t>キンベン</t>
    </rPh>
    <rPh sb="4" eb="6">
      <t>テアテ</t>
    </rPh>
    <rPh sb="10" eb="12">
      <t>キンム</t>
    </rPh>
    <rPh sb="12" eb="15">
      <t>キカンリツ</t>
    </rPh>
    <phoneticPr fontId="2"/>
  </si>
  <si>
    <t>５．勤勉手当にかかる勤務期間率</t>
    <rPh sb="2" eb="4">
      <t>キンベン</t>
    </rPh>
    <rPh sb="4" eb="6">
      <t>テアテ</t>
    </rPh>
    <rPh sb="10" eb="12">
      <t>キンム</t>
    </rPh>
    <rPh sb="12" eb="14">
      <t>キカン</t>
    </rPh>
    <rPh sb="14" eb="15">
      <t>リツ</t>
    </rPh>
    <phoneticPr fontId="2"/>
  </si>
  <si>
    <t>勤務期間の月計算（勤勉）</t>
    <rPh sb="0" eb="2">
      <t>キンム</t>
    </rPh>
    <rPh sb="2" eb="4">
      <t>キカン</t>
    </rPh>
    <rPh sb="5" eb="6">
      <t>ツキ</t>
    </rPh>
    <rPh sb="6" eb="8">
      <t>ケイサン</t>
    </rPh>
    <rPh sb="9" eb="11">
      <t>キンベン</t>
    </rPh>
    <phoneticPr fontId="2"/>
  </si>
  <si>
    <t>勤務期間の日計算（勤勉）</t>
    <rPh sb="0" eb="2">
      <t>キンム</t>
    </rPh>
    <rPh sb="2" eb="4">
      <t>キカン</t>
    </rPh>
    <rPh sb="5" eb="6">
      <t>ニチ</t>
    </rPh>
    <rPh sb="6" eb="8">
      <t>ケイサン</t>
    </rPh>
    <rPh sb="9" eb="11">
      <t>キンベン</t>
    </rPh>
    <phoneticPr fontId="2"/>
  </si>
  <si>
    <t>在職期間</t>
    <rPh sb="0" eb="2">
      <t>ザイショク</t>
    </rPh>
    <rPh sb="2" eb="4">
      <t>キカン</t>
    </rPh>
    <phoneticPr fontId="2"/>
  </si>
  <si>
    <t>在職期間の月計算（期末）</t>
    <rPh sb="0" eb="2">
      <t>ザイショク</t>
    </rPh>
    <rPh sb="2" eb="4">
      <t>キカン</t>
    </rPh>
    <rPh sb="5" eb="6">
      <t>ツキ</t>
    </rPh>
    <rPh sb="6" eb="8">
      <t>ケイサン</t>
    </rPh>
    <rPh sb="9" eb="11">
      <t>キマツ</t>
    </rPh>
    <phoneticPr fontId="2"/>
  </si>
  <si>
    <t>在職期間の日計算（期末）</t>
    <rPh sb="0" eb="2">
      <t>ザイショク</t>
    </rPh>
    <rPh sb="2" eb="4">
      <t>キカン</t>
    </rPh>
    <rPh sb="5" eb="6">
      <t>ニチ</t>
    </rPh>
    <rPh sb="6" eb="8">
      <t>ケイサン</t>
    </rPh>
    <rPh sb="9" eb="11">
      <t>キマツ</t>
    </rPh>
    <phoneticPr fontId="2"/>
  </si>
  <si>
    <t>育休除算期間の月計算（勤勉）</t>
    <rPh sb="0" eb="2">
      <t>イクキュウ</t>
    </rPh>
    <rPh sb="2" eb="4">
      <t>ジョサン</t>
    </rPh>
    <rPh sb="4" eb="6">
      <t>キカン</t>
    </rPh>
    <rPh sb="7" eb="8">
      <t>ツキ</t>
    </rPh>
    <rPh sb="8" eb="10">
      <t>ケイサン</t>
    </rPh>
    <rPh sb="11" eb="13">
      <t>キンベン</t>
    </rPh>
    <phoneticPr fontId="2"/>
  </si>
  <si>
    <t>育休除算期間の残りの日数（勤勉）</t>
    <rPh sb="0" eb="2">
      <t>イクキュウ</t>
    </rPh>
    <rPh sb="2" eb="4">
      <t>ジョサン</t>
    </rPh>
    <rPh sb="4" eb="6">
      <t>キカン</t>
    </rPh>
    <rPh sb="7" eb="8">
      <t>ノコ</t>
    </rPh>
    <rPh sb="10" eb="12">
      <t>ニッスウ</t>
    </rPh>
    <rPh sb="13" eb="15">
      <t>キンベン</t>
    </rPh>
    <phoneticPr fontId="2"/>
  </si>
  <si>
    <t>全期間勤務実績なし（表示１）</t>
    <rPh sb="0" eb="3">
      <t>ゼンキカン</t>
    </rPh>
    <rPh sb="3" eb="5">
      <t>キンム</t>
    </rPh>
    <rPh sb="5" eb="7">
      <t>ジッセキ</t>
    </rPh>
    <rPh sb="10" eb="12">
      <t>ヒョウジ</t>
    </rPh>
    <phoneticPr fontId="2"/>
  </si>
  <si>
    <t>全期間勤務実績なし（表示２）</t>
    <rPh sb="0" eb="3">
      <t>ゼンキカン</t>
    </rPh>
    <rPh sb="3" eb="5">
      <t>キンム</t>
    </rPh>
    <rPh sb="5" eb="7">
      <t>ジッセキ</t>
    </rPh>
    <rPh sb="10" eb="12">
      <t>ヒョウジ</t>
    </rPh>
    <phoneticPr fontId="2"/>
  </si>
  <si>
    <t>実際に表示させるコメント</t>
    <rPh sb="0" eb="2">
      <t>ジッサイ</t>
    </rPh>
    <rPh sb="3" eb="5">
      <t>ヒョウジ</t>
    </rPh>
    <phoneticPr fontId="2"/>
  </si>
  <si>
    <t>∴在職期間割合</t>
    <rPh sb="1" eb="3">
      <t>ザイショク</t>
    </rPh>
    <rPh sb="3" eb="5">
      <t>キカン</t>
    </rPh>
    <rPh sb="5" eb="7">
      <t>ワリアイ</t>
    </rPh>
    <phoneticPr fontId="2"/>
  </si>
  <si>
    <t>期　末　手　当</t>
    <rPh sb="0" eb="1">
      <t>キ</t>
    </rPh>
    <rPh sb="2" eb="3">
      <t>スエ</t>
    </rPh>
    <rPh sb="4" eb="5">
      <t>テ</t>
    </rPh>
    <rPh sb="6" eb="7">
      <t>トウ</t>
    </rPh>
    <phoneticPr fontId="2"/>
  </si>
  <si>
    <t>学校名</t>
    <rPh sb="0" eb="3">
      <t>ガッコウメイ</t>
    </rPh>
    <phoneticPr fontId="3"/>
  </si>
  <si>
    <t>職　　名</t>
    <rPh sb="0" eb="1">
      <t>ショク</t>
    </rPh>
    <rPh sb="3" eb="4">
      <t>メイ</t>
    </rPh>
    <phoneticPr fontId="3"/>
  </si>
  <si>
    <t>氏　　名</t>
    <rPh sb="0" eb="1">
      <t>シ</t>
    </rPh>
    <rPh sb="3" eb="4">
      <t>メイ</t>
    </rPh>
    <phoneticPr fontId="3"/>
  </si>
  <si>
    <t>コード</t>
    <phoneticPr fontId="3"/>
  </si>
  <si>
    <t>職員番号</t>
    <rPh sb="0" eb="2">
      <t>ショクイン</t>
    </rPh>
    <rPh sb="2" eb="3">
      <t>バン</t>
    </rPh>
    <rPh sb="3" eb="4">
      <t>ゴウ</t>
    </rPh>
    <phoneticPr fontId="3"/>
  </si>
  <si>
    <t>除算理由</t>
    <rPh sb="0" eb="2">
      <t>ジョサン</t>
    </rPh>
    <rPh sb="2" eb="4">
      <t>リユウ</t>
    </rPh>
    <phoneticPr fontId="3"/>
  </si>
  <si>
    <t>休暇等承認期間</t>
    <rPh sb="0" eb="2">
      <t>キュウカ</t>
    </rPh>
    <rPh sb="2" eb="3">
      <t>トウ</t>
    </rPh>
    <rPh sb="3" eb="5">
      <t>ショウニン</t>
    </rPh>
    <rPh sb="5" eb="7">
      <t>キカン</t>
    </rPh>
    <phoneticPr fontId="3"/>
  </si>
  <si>
    <t>～</t>
    <phoneticPr fontId="3"/>
  </si>
  <si>
    <t>除算期間</t>
    <rPh sb="0" eb="2">
      <t>ジョサン</t>
    </rPh>
    <rPh sb="2" eb="4">
      <t>キカン</t>
    </rPh>
    <phoneticPr fontId="3"/>
  </si>
  <si>
    <t>○　期末手当</t>
    <rPh sb="2" eb="4">
      <t>キマツ</t>
    </rPh>
    <rPh sb="4" eb="6">
      <t>テアテ</t>
    </rPh>
    <phoneticPr fontId="3"/>
  </si>
  <si>
    <t>除算期間内訳</t>
    <rPh sb="0" eb="2">
      <t>ジョサン</t>
    </rPh>
    <rPh sb="2" eb="4">
      <t>キカン</t>
    </rPh>
    <rPh sb="4" eb="6">
      <t>ウチワケ</t>
    </rPh>
    <phoneticPr fontId="3"/>
  </si>
  <si>
    <t>在職期間</t>
    <rPh sb="0" eb="2">
      <t>ザイショク</t>
    </rPh>
    <rPh sb="2" eb="4">
      <t>キカン</t>
    </rPh>
    <phoneticPr fontId="3"/>
  </si>
  <si>
    <t>期末手当
在職期間率</t>
    <rPh sb="0" eb="2">
      <t>キマツ</t>
    </rPh>
    <rPh sb="2" eb="4">
      <t>テアテ</t>
    </rPh>
    <rPh sb="5" eb="7">
      <t>ザイショク</t>
    </rPh>
    <rPh sb="7" eb="9">
      <t>キカン</t>
    </rPh>
    <rPh sb="9" eb="10">
      <t>リツ</t>
    </rPh>
    <phoneticPr fontId="3"/>
  </si>
  <si>
    <t>１月目</t>
    <rPh sb="1" eb="2">
      <t>ツキ</t>
    </rPh>
    <rPh sb="2" eb="3">
      <t>メ</t>
    </rPh>
    <phoneticPr fontId="3"/>
  </si>
  <si>
    <t>２月目</t>
    <rPh sb="1" eb="2">
      <t>ツキ</t>
    </rPh>
    <rPh sb="2" eb="3">
      <t>メ</t>
    </rPh>
    <phoneticPr fontId="3"/>
  </si>
  <si>
    <t>３月目</t>
    <rPh sb="1" eb="2">
      <t>ツキ</t>
    </rPh>
    <rPh sb="2" eb="3">
      <t>メ</t>
    </rPh>
    <phoneticPr fontId="3"/>
  </si>
  <si>
    <t>４月目</t>
    <rPh sb="1" eb="2">
      <t>ツキ</t>
    </rPh>
    <rPh sb="2" eb="3">
      <t>メ</t>
    </rPh>
    <phoneticPr fontId="3"/>
  </si>
  <si>
    <t>月</t>
    <rPh sb="0" eb="1">
      <t>ツキ</t>
    </rPh>
    <phoneticPr fontId="3"/>
  </si>
  <si>
    <t>５月目</t>
    <rPh sb="1" eb="2">
      <t>ツキ</t>
    </rPh>
    <rPh sb="2" eb="3">
      <t>メ</t>
    </rPh>
    <phoneticPr fontId="3"/>
  </si>
  <si>
    <t>～</t>
    <phoneticPr fontId="3"/>
  </si>
  <si>
    <t>６月目</t>
    <rPh sb="1" eb="2">
      <t>ツキ</t>
    </rPh>
    <rPh sb="2" eb="3">
      <t>メ</t>
    </rPh>
    <phoneticPr fontId="3"/>
  </si>
  <si>
    <t>端数（日）</t>
    <rPh sb="0" eb="2">
      <t>ハスウ</t>
    </rPh>
    <rPh sb="3" eb="4">
      <t>ヒ</t>
    </rPh>
    <phoneticPr fontId="3"/>
  </si>
  <si>
    <t>日</t>
    <rPh sb="0" eb="1">
      <t>ヒ</t>
    </rPh>
    <phoneticPr fontId="3"/>
  </si>
  <si>
    <t>計</t>
    <rPh sb="0" eb="1">
      <t>ケイ</t>
    </rPh>
    <phoneticPr fontId="3"/>
  </si>
  <si>
    <t>(A)</t>
    <phoneticPr fontId="3"/>
  </si>
  <si>
    <t>／</t>
    <phoneticPr fontId="3"/>
  </si>
  <si>
    <t>育児休業の場合</t>
    <rPh sb="0" eb="2">
      <t>イクジ</t>
    </rPh>
    <rPh sb="2" eb="4">
      <t>キュウギョウ</t>
    </rPh>
    <rPh sb="5" eb="7">
      <t>バアイ</t>
    </rPh>
    <phoneticPr fontId="3"/>
  </si>
  <si>
    <t>　（A) × １／２</t>
    <phoneticPr fontId="3"/>
  </si>
  <si>
    <t>○　勤勉手当</t>
    <rPh sb="2" eb="4">
      <t>キンベン</t>
    </rPh>
    <rPh sb="4" eb="6">
      <t>テアテ</t>
    </rPh>
    <phoneticPr fontId="3"/>
  </si>
  <si>
    <t>　病気休暇・　　　　　　　　　　介護休暇の場合</t>
    <rPh sb="1" eb="3">
      <t>ビョウキ</t>
    </rPh>
    <rPh sb="3" eb="5">
      <t>キュウカ</t>
    </rPh>
    <rPh sb="16" eb="18">
      <t>カイゴ</t>
    </rPh>
    <rPh sb="18" eb="20">
      <t>キュウカ</t>
    </rPh>
    <rPh sb="21" eb="23">
      <t>バアイ</t>
    </rPh>
    <phoneticPr fontId="3"/>
  </si>
  <si>
    <t>休暇期間の延日数</t>
    <rPh sb="0" eb="2">
      <t>キュウカ</t>
    </rPh>
    <rPh sb="2" eb="4">
      <t>キカン</t>
    </rPh>
    <rPh sb="5" eb="6">
      <t>ノ</t>
    </rPh>
    <rPh sb="6" eb="8">
      <t>ニッスウ</t>
    </rPh>
    <phoneticPr fontId="3"/>
  </si>
  <si>
    <t>日</t>
    <rPh sb="0" eb="1">
      <t>ニチ</t>
    </rPh>
    <phoneticPr fontId="3"/>
  </si>
  <si>
    <t>（－）</t>
    <phoneticPr fontId="3"/>
  </si>
  <si>
    <t>左のうち週休日・休日の日数</t>
    <rPh sb="0" eb="1">
      <t>ヒダリ</t>
    </rPh>
    <rPh sb="4" eb="6">
      <t>シュウキュウ</t>
    </rPh>
    <rPh sb="6" eb="7">
      <t>ビ</t>
    </rPh>
    <rPh sb="8" eb="10">
      <t>キュウジツ</t>
    </rPh>
    <rPh sb="11" eb="13">
      <t>ニッスウ</t>
    </rPh>
    <phoneticPr fontId="3"/>
  </si>
  <si>
    <t>（＝）</t>
    <phoneticPr fontId="3"/>
  </si>
  <si>
    <t>（a）</t>
    <phoneticPr fontId="3"/>
  </si>
  <si>
    <r>
      <rPr>
        <b/>
        <sz val="9"/>
        <color indexed="8"/>
        <rFont val="ＭＳ Ｐゴシック"/>
        <family val="3"/>
        <charset val="128"/>
      </rPr>
      <t>（a）</t>
    </r>
    <r>
      <rPr>
        <sz val="9"/>
        <color indexed="8"/>
        <rFont val="ＭＳ Ｐゴシック"/>
        <family val="3"/>
        <charset val="128"/>
      </rPr>
      <t>の日数が３０日を</t>
    </r>
    <rPh sb="4" eb="6">
      <t>ニッスウ</t>
    </rPh>
    <rPh sb="9" eb="10">
      <t>ニチ</t>
    </rPh>
    <phoneticPr fontId="3"/>
  </si>
  <si>
    <t>超える</t>
    <rPh sb="0" eb="1">
      <t>コ</t>
    </rPh>
    <phoneticPr fontId="3"/>
  </si>
  <si>
    <t>（除算期間計算必要）</t>
    <rPh sb="1" eb="3">
      <t>ジョサン</t>
    </rPh>
    <rPh sb="3" eb="5">
      <t>キカン</t>
    </rPh>
    <rPh sb="5" eb="7">
      <t>ケイサン</t>
    </rPh>
    <rPh sb="7" eb="9">
      <t>ヒツヨウ</t>
    </rPh>
    <phoneticPr fontId="3"/>
  </si>
  <si>
    <t>超えない</t>
    <rPh sb="0" eb="1">
      <t>コ</t>
    </rPh>
    <phoneticPr fontId="3"/>
  </si>
  <si>
    <t>（除算期間計算不要）</t>
    <rPh sb="1" eb="3">
      <t>ジョサン</t>
    </rPh>
    <rPh sb="3" eb="5">
      <t>キカン</t>
    </rPh>
    <rPh sb="5" eb="7">
      <t>ケイサン</t>
    </rPh>
    <rPh sb="7" eb="9">
      <t>フヨウ</t>
    </rPh>
    <phoneticPr fontId="3"/>
  </si>
  <si>
    <t>勤務期間</t>
    <rPh sb="0" eb="2">
      <t>キンム</t>
    </rPh>
    <rPh sb="2" eb="4">
      <t>キカン</t>
    </rPh>
    <phoneticPr fontId="3"/>
  </si>
  <si>
    <t>勤勉手当
勤務期間率</t>
    <rPh sb="0" eb="2">
      <t>キンベン</t>
    </rPh>
    <rPh sb="2" eb="4">
      <t>テアテ</t>
    </rPh>
    <rPh sb="5" eb="7">
      <t>キンム</t>
    </rPh>
    <rPh sb="7" eb="9">
      <t>キカン</t>
    </rPh>
    <rPh sb="9" eb="10">
      <t>リツ</t>
    </rPh>
    <phoneticPr fontId="3"/>
  </si>
  <si>
    <r>
      <t>端数（日）</t>
    </r>
    <r>
      <rPr>
        <b/>
        <sz val="9"/>
        <color indexed="8"/>
        <rFont val="ＭＳ Ｐゴシック"/>
        <family val="3"/>
        <charset val="128"/>
      </rPr>
      <t>（B)</t>
    </r>
    <rPh sb="0" eb="2">
      <t>ハスウ</t>
    </rPh>
    <rPh sb="3" eb="4">
      <t>ヒ</t>
    </rPh>
    <phoneticPr fontId="3"/>
  </si>
  <si>
    <t>(C)</t>
    <phoneticPr fontId="3"/>
  </si>
  <si>
    <t>病気休暇・　　　　　介護休暇の場合</t>
    <rPh sb="0" eb="2">
      <t>ビョウキ</t>
    </rPh>
    <rPh sb="2" eb="4">
      <t>キュウカ</t>
    </rPh>
    <rPh sb="10" eb="12">
      <t>カイゴ</t>
    </rPh>
    <rPh sb="12" eb="14">
      <t>キュウカ</t>
    </rPh>
    <rPh sb="15" eb="17">
      <t>バアイ</t>
    </rPh>
    <phoneticPr fontId="3"/>
  </si>
  <si>
    <t xml:space="preserve"> （B)の期間のうち週休日・休日の日数</t>
    <rPh sb="5" eb="7">
      <t>キカン</t>
    </rPh>
    <rPh sb="10" eb="12">
      <t>シュウキュウ</t>
    </rPh>
    <rPh sb="12" eb="13">
      <t>ビ</t>
    </rPh>
    <rPh sb="14" eb="16">
      <t>キュウジツ</t>
    </rPh>
    <rPh sb="17" eb="19">
      <t>ニッスウ</t>
    </rPh>
    <phoneticPr fontId="3"/>
  </si>
  <si>
    <t>(D)</t>
    <phoneticPr fontId="3"/>
  </si>
  <si>
    <t xml:space="preserve"> 除算の合計　（C) － （D)</t>
    <phoneticPr fontId="3"/>
  </si>
  <si>
    <t>備　　　考</t>
    <rPh sb="0" eb="1">
      <t>トモ</t>
    </rPh>
    <rPh sb="4" eb="5">
      <t>コウ</t>
    </rPh>
    <phoneticPr fontId="3"/>
  </si>
  <si>
    <t>※講師の在職期間は、「除算」ではなく「通算」するので、本内訳書の作成は不要であること。</t>
    <rPh sb="1" eb="3">
      <t>コウシ</t>
    </rPh>
    <rPh sb="4" eb="6">
      <t>ザイショク</t>
    </rPh>
    <rPh sb="6" eb="8">
      <t>キカン</t>
    </rPh>
    <rPh sb="11" eb="13">
      <t>ジョサン</t>
    </rPh>
    <rPh sb="19" eb="21">
      <t>ツウサン</t>
    </rPh>
    <rPh sb="27" eb="28">
      <t>ホン</t>
    </rPh>
    <rPh sb="28" eb="31">
      <t>ウチワケショ</t>
    </rPh>
    <rPh sb="32" eb="34">
      <t>サクセイ</t>
    </rPh>
    <rPh sb="35" eb="37">
      <t>フヨウ</t>
    </rPh>
    <phoneticPr fontId="3"/>
  </si>
  <si>
    <t>職員番号</t>
    <rPh sb="0" eb="1">
      <t>ショク</t>
    </rPh>
    <rPh sb="1" eb="2">
      <t>イン</t>
    </rPh>
    <rPh sb="2" eb="3">
      <t>バン</t>
    </rPh>
    <rPh sb="3" eb="4">
      <t>ゴウ</t>
    </rPh>
    <phoneticPr fontId="2"/>
  </si>
  <si>
    <t>除算理由</t>
    <rPh sb="0" eb="2">
      <t>ジョサン</t>
    </rPh>
    <rPh sb="2" eb="4">
      <t>リユウ</t>
    </rPh>
    <phoneticPr fontId="2"/>
  </si>
  <si>
    <t>）</t>
    <phoneticPr fontId="2"/>
  </si>
  <si>
    <t>～</t>
    <phoneticPr fontId="2"/>
  </si>
  <si>
    <t>（</t>
    <phoneticPr fontId="2"/>
  </si>
  <si>
    <t>育児休業</t>
    <rPh sb="0" eb="2">
      <t>イクジ</t>
    </rPh>
    <rPh sb="2" eb="4">
      <t>キュウギョウ</t>
    </rPh>
    <phoneticPr fontId="2"/>
  </si>
  <si>
    <t>産前産後休暇</t>
    <rPh sb="0" eb="4">
      <t>サンゼンサンゴ</t>
    </rPh>
    <rPh sb="4" eb="6">
      <t>キュウカ</t>
    </rPh>
    <phoneticPr fontId="2"/>
  </si>
  <si>
    <t>職員番号</t>
    <rPh sb="0" eb="4">
      <t>ショクインバンゴウ</t>
    </rPh>
    <phoneticPr fontId="2"/>
  </si>
  <si>
    <t>(A)</t>
    <phoneticPr fontId="3"/>
  </si>
  <si>
    <t>／</t>
    <phoneticPr fontId="3"/>
  </si>
  <si>
    <t>　（A) × １／２</t>
    <phoneticPr fontId="3"/>
  </si>
  <si>
    <t>（－）</t>
    <phoneticPr fontId="3"/>
  </si>
  <si>
    <t>（＝）</t>
    <phoneticPr fontId="3"/>
  </si>
  <si>
    <t>（a）</t>
    <phoneticPr fontId="3"/>
  </si>
  <si>
    <t>～</t>
    <phoneticPr fontId="3"/>
  </si>
  <si>
    <t>(C)</t>
    <phoneticPr fontId="3"/>
  </si>
  <si>
    <t>(D)</t>
    <phoneticPr fontId="3"/>
  </si>
  <si>
    <t xml:space="preserve"> 除算の合計　（C) － （D)</t>
    <phoneticPr fontId="3"/>
  </si>
  <si>
    <t>病気休暇</t>
    <rPh sb="0" eb="2">
      <t>ビョウキ</t>
    </rPh>
    <rPh sb="2" eb="4">
      <t>キュウカ</t>
    </rPh>
    <phoneticPr fontId="2"/>
  </si>
  <si>
    <t>休暇等承認期間１</t>
    <rPh sb="0" eb="2">
      <t>キュウカ</t>
    </rPh>
    <rPh sb="2" eb="3">
      <t>トウ</t>
    </rPh>
    <rPh sb="3" eb="5">
      <t>ショウニン</t>
    </rPh>
    <rPh sb="5" eb="7">
      <t>キカン</t>
    </rPh>
    <phoneticPr fontId="3"/>
  </si>
  <si>
    <t>休暇等承認期間２</t>
    <rPh sb="0" eb="2">
      <t>キュウカ</t>
    </rPh>
    <rPh sb="2" eb="3">
      <t>トウ</t>
    </rPh>
    <rPh sb="3" eb="5">
      <t>ショウニン</t>
    </rPh>
    <rPh sb="5" eb="7">
      <t>キカン</t>
    </rPh>
    <phoneticPr fontId="3"/>
  </si>
  <si>
    <t>休暇等承認期間３</t>
    <rPh sb="0" eb="2">
      <t>キュウカ</t>
    </rPh>
    <rPh sb="2" eb="3">
      <t>トウ</t>
    </rPh>
    <rPh sb="3" eb="5">
      <t>ショウニン</t>
    </rPh>
    <rPh sb="5" eb="7">
      <t>キカン</t>
    </rPh>
    <phoneticPr fontId="3"/>
  </si>
  <si>
    <t>除算期間１</t>
    <rPh sb="0" eb="2">
      <t>ジョサン</t>
    </rPh>
    <rPh sb="2" eb="4">
      <t>キカン</t>
    </rPh>
    <phoneticPr fontId="3"/>
  </si>
  <si>
    <t>除算期間２</t>
    <rPh sb="0" eb="2">
      <t>ジョサン</t>
    </rPh>
    <rPh sb="2" eb="4">
      <t>キカン</t>
    </rPh>
    <phoneticPr fontId="3"/>
  </si>
  <si>
    <t>除算期間３</t>
    <rPh sb="0" eb="2">
      <t>ジョサン</t>
    </rPh>
    <rPh sb="2" eb="4">
      <t>キカン</t>
    </rPh>
    <phoneticPr fontId="3"/>
  </si>
  <si>
    <t>勤務期間なしのため勤勉手当支給対象外　※総原資に含まない</t>
    <rPh sb="0" eb="2">
      <t>キンム</t>
    </rPh>
    <rPh sb="2" eb="4">
      <t>キカン</t>
    </rPh>
    <rPh sb="9" eb="11">
      <t>キンベン</t>
    </rPh>
    <rPh sb="11" eb="13">
      <t>テアテ</t>
    </rPh>
    <rPh sb="13" eb="15">
      <t>シキュウ</t>
    </rPh>
    <rPh sb="15" eb="18">
      <t>タイショウガイ</t>
    </rPh>
    <rPh sb="20" eb="21">
      <t>ソウ</t>
    </rPh>
    <rPh sb="21" eb="23">
      <t>ゲンシ</t>
    </rPh>
    <rPh sb="24" eb="25">
      <t>フク</t>
    </rPh>
    <phoneticPr fontId="2"/>
  </si>
  <si>
    <t>勤務期間なしのため勤勉手当期間率 0/100　※総原資に含む</t>
    <rPh sb="0" eb="2">
      <t>キンム</t>
    </rPh>
    <rPh sb="2" eb="4">
      <t>キカン</t>
    </rPh>
    <rPh sb="9" eb="11">
      <t>キンベン</t>
    </rPh>
    <rPh sb="11" eb="13">
      <t>テアテ</t>
    </rPh>
    <rPh sb="13" eb="16">
      <t>キカンリツ</t>
    </rPh>
    <rPh sb="24" eb="25">
      <t>ソウ</t>
    </rPh>
    <rPh sb="25" eb="27">
      <t>ゲンシ</t>
    </rPh>
    <rPh sb="28" eb="29">
      <t>フク</t>
    </rPh>
    <phoneticPr fontId="2"/>
  </si>
  <si>
    <t>No.</t>
    <phoneticPr fontId="3"/>
  </si>
  <si>
    <t>祝日名</t>
  </si>
  <si>
    <t>月</t>
    <phoneticPr fontId="3"/>
  </si>
  <si>
    <t>日</t>
    <phoneticPr fontId="3"/>
  </si>
  <si>
    <t>振替休日</t>
    <phoneticPr fontId="3"/>
  </si>
  <si>
    <t>年</t>
    <rPh sb="0" eb="1">
      <t>ネン</t>
    </rPh>
    <phoneticPr fontId="3"/>
  </si>
  <si>
    <t>振替休日</t>
    <phoneticPr fontId="3"/>
  </si>
  <si>
    <t>年末年始の休日扱い</t>
    <phoneticPr fontId="3"/>
  </si>
  <si>
    <t>12/29-1/3</t>
  </si>
  <si>
    <t>扱い日なし</t>
    <rPh sb="0" eb="1">
      <t>アツカ</t>
    </rPh>
    <rPh sb="2" eb="3">
      <t>ビ</t>
    </rPh>
    <phoneticPr fontId="3"/>
  </si>
  <si>
    <t>振替休日</t>
    <phoneticPr fontId="3"/>
  </si>
  <si>
    <t>12/29-1/3</t>
    <phoneticPr fontId="3"/>
  </si>
  <si>
    <t>12/31-1/3</t>
    <phoneticPr fontId="3"/>
  </si>
  <si>
    <t>振替休日</t>
    <phoneticPr fontId="3"/>
  </si>
  <si>
    <t>山の日</t>
    <rPh sb="0" eb="1">
      <t>ヤマ</t>
    </rPh>
    <phoneticPr fontId="3"/>
  </si>
  <si>
    <t>国民の休日</t>
    <phoneticPr fontId="3"/>
  </si>
  <si>
    <t>年始休み</t>
    <rPh sb="0" eb="2">
      <t>ネンシ</t>
    </rPh>
    <rPh sb="2" eb="3">
      <t>ヤス</t>
    </rPh>
    <phoneticPr fontId="3"/>
  </si>
  <si>
    <t>年末休み</t>
    <rPh sb="0" eb="2">
      <t>ネンマツ</t>
    </rPh>
    <rPh sb="2" eb="3">
      <t>ヤス</t>
    </rPh>
    <phoneticPr fontId="3"/>
  </si>
  <si>
    <t>創立記念日（予備欄）</t>
    <rPh sb="6" eb="8">
      <t>ヨビ</t>
    </rPh>
    <rPh sb="8" eb="9">
      <t>ラン</t>
    </rPh>
    <phoneticPr fontId="3"/>
  </si>
  <si>
    <t>（予備欄）</t>
    <rPh sb="1" eb="3">
      <t>ヨビ</t>
    </rPh>
    <rPh sb="3" eb="4">
      <t>ラン</t>
    </rPh>
    <phoneticPr fontId="3"/>
  </si>
  <si>
    <t>作者のブログ</t>
    <rPh sb="0" eb="2">
      <t>サクシャ</t>
    </rPh>
    <phoneticPr fontId="3"/>
  </si>
  <si>
    <t>柔らかエクセル</t>
    <rPh sb="0" eb="1">
      <t>ヤワ</t>
    </rPh>
    <phoneticPr fontId="3"/>
  </si>
  <si>
    <t>http://yawaraka-excel.cocolog-nifty.com/blog/</t>
    <phoneticPr fontId="3"/>
  </si>
  <si>
    <t>総務で使えるエクセル残業計算</t>
    <phoneticPr fontId="3"/>
  </si>
  <si>
    <t>http://zangyoukeisan.cocolog-nifty.com/blog/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</si>
</sst>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aaa"/>
    <numFmt numFmtId="177" formatCode="[$-411]ggge&quot;年&quot;m&quot;月&quot;d&quot;日&quot;;@"/>
    <numFmt numFmtId="178" formatCode="m/d;@"/>
    <numFmt numFmtId="179" formatCode="0.0_ "/>
    <numFmt numFmtId="180" formatCode="General&quot;月&quot;&quot;目&quot;"/>
  </numFmts>
  <fonts count="23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b/>
      <sz val="9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1"/>
      <color indexed="18"/>
      <name val="ＭＳ Ｐゴシック"/>
      <family val="3"/>
      <charset val="128"/>
    </font>
    <font>
      <sz val="11"/>
      <color indexed="22"/>
      <name val="ＭＳ Ｐゴシック"/>
      <family val="3"/>
      <charset val="128"/>
    </font>
    <font>
      <sz val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tted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4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14" fontId="0" fillId="0" borderId="2" xfId="0" applyNumberFormat="1" applyBorder="1" applyAlignment="1"/>
    <xf numFmtId="0" fontId="1" fillId="0" borderId="0" xfId="0" applyFont="1" applyAlignment="1">
      <alignment horizontal="center" vertical="center"/>
    </xf>
    <xf numFmtId="0" fontId="0" fillId="4" borderId="2" xfId="0" applyFill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>
      <alignment horizontal="center"/>
    </xf>
    <xf numFmtId="0" fontId="6" fillId="0" borderId="0" xfId="0" applyFont="1" applyAlignment="1"/>
    <xf numFmtId="0" fontId="1" fillId="0" borderId="4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1" fillId="0" borderId="6" xfId="0" applyFont="1" applyBorder="1" applyAlignment="1">
      <alignment horizontal="centerContinuous" vertical="center"/>
    </xf>
    <xf numFmtId="0" fontId="1" fillId="0" borderId="3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0" xfId="0" applyNumberFormat="1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9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2" borderId="2" xfId="0" applyFill="1" applyBorder="1" applyAlignment="1">
      <alignment horizontal="centerContinuous"/>
    </xf>
    <xf numFmtId="14" fontId="1" fillId="0" borderId="0" xfId="0" applyNumberFormat="1" applyFont="1" applyBorder="1">
      <alignment vertical="center"/>
    </xf>
    <xf numFmtId="14" fontId="1" fillId="0" borderId="9" xfId="0" applyNumberFormat="1" applyFont="1" applyBorder="1">
      <alignment vertical="center"/>
    </xf>
    <xf numFmtId="14" fontId="1" fillId="0" borderId="7" xfId="0" applyNumberFormat="1" applyFont="1" applyBorder="1">
      <alignment vertical="center"/>
    </xf>
    <xf numFmtId="14" fontId="1" fillId="0" borderId="10" xfId="0" applyNumberFormat="1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58" fontId="1" fillId="0" borderId="0" xfId="0" applyNumberFormat="1" applyFont="1" applyAlignment="1">
      <alignment horizontal="distributed" vertical="center" justifyLastLine="1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58" fontId="1" fillId="0" borderId="0" xfId="0" applyNumberFormat="1" applyFont="1" applyAlignment="1">
      <alignment horizontal="distributed" vertical="center" justifyLastLine="1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1" fillId="5" borderId="11" xfId="0" applyFont="1" applyFill="1" applyBorder="1" applyProtection="1">
      <alignment vertical="center"/>
      <protection locked="0"/>
    </xf>
    <xf numFmtId="49" fontId="1" fillId="5" borderId="13" xfId="0" quotePrefix="1" applyNumberFormat="1" applyFont="1" applyFill="1" applyBorder="1" applyProtection="1">
      <alignment vertical="center"/>
      <protection locked="0"/>
    </xf>
    <xf numFmtId="58" fontId="1" fillId="5" borderId="12" xfId="0" applyNumberFormat="1" applyFont="1" applyFill="1" applyBorder="1" applyAlignment="1" applyProtection="1">
      <alignment horizontal="center" vertical="center"/>
      <protection locked="0"/>
    </xf>
    <xf numFmtId="58" fontId="1" fillId="5" borderId="13" xfId="0" applyNumberFormat="1" applyFont="1" applyFill="1" applyBorder="1" applyAlignment="1" applyProtection="1">
      <alignment horizontal="center" vertical="center"/>
      <protection locked="0"/>
    </xf>
    <xf numFmtId="49" fontId="1" fillId="5" borderId="13" xfId="0" applyNumberFormat="1" applyFont="1" applyFill="1" applyBorder="1" applyProtection="1">
      <alignment vertical="center"/>
      <protection locked="0"/>
    </xf>
    <xf numFmtId="58" fontId="1" fillId="0" borderId="0" xfId="0" applyNumberFormat="1" applyFont="1" applyAlignment="1">
      <alignment horizontal="distributed" vertical="center" justifyLastLine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5" xfId="0" applyFont="1" applyBorder="1">
      <alignment vertical="center"/>
    </xf>
    <xf numFmtId="0" fontId="7" fillId="0" borderId="14" xfId="0" applyFont="1" applyBorder="1" applyAlignment="1">
      <alignment horizontal="distributed" vertical="center" justifyLastLine="1"/>
    </xf>
    <xf numFmtId="0" fontId="0" fillId="0" borderId="0" xfId="0" applyAlignment="1">
      <alignment horizontal="centerContinuous" vertical="center"/>
    </xf>
    <xf numFmtId="58" fontId="1" fillId="0" borderId="0" xfId="0" applyNumberFormat="1" applyFont="1" applyAlignment="1">
      <alignment horizontal="distributed" vertical="center" justifyLastLine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distributed" vertical="center" justifyLastLine="1"/>
    </xf>
    <xf numFmtId="0" fontId="1" fillId="0" borderId="0" xfId="0" applyNumberFormat="1" applyFont="1">
      <alignment vertical="center"/>
    </xf>
    <xf numFmtId="58" fontId="1" fillId="0" borderId="0" xfId="0" applyNumberFormat="1" applyFont="1" applyAlignment="1">
      <alignment horizontal="center" vertical="center" justifyLastLine="1"/>
    </xf>
    <xf numFmtId="0" fontId="1" fillId="0" borderId="0" xfId="0" quotePrefix="1" applyNumberFormat="1" applyFont="1" applyAlignment="1">
      <alignment horizontal="centerContinuous" vertical="center"/>
    </xf>
    <xf numFmtId="58" fontId="1" fillId="0" borderId="0" xfId="0" applyNumberFormat="1" applyFont="1" applyAlignment="1">
      <alignment horizontal="centerContinuous" vertical="center"/>
    </xf>
    <xf numFmtId="0" fontId="1" fillId="0" borderId="0" xfId="0" applyNumberFormat="1" applyFont="1" applyAlignment="1">
      <alignment horizontal="right" vertical="center" justifyLastLine="1"/>
    </xf>
    <xf numFmtId="0" fontId="1" fillId="0" borderId="0" xfId="0" applyNumberFormat="1" applyFont="1" applyAlignment="1">
      <alignment horizontal="left" vertical="center" justifyLastLine="1"/>
    </xf>
    <xf numFmtId="0" fontId="1" fillId="0" borderId="0" xfId="0" applyNumberFormat="1" applyFont="1" applyAlignment="1">
      <alignment horizontal="right" vertical="center"/>
    </xf>
    <xf numFmtId="0" fontId="10" fillId="0" borderId="0" xfId="0" applyNumberFormat="1" applyFont="1" applyAlignment="1">
      <alignment horizontal="left" vertical="center" justifyLastLine="1"/>
    </xf>
    <xf numFmtId="0" fontId="1" fillId="0" borderId="0" xfId="0" applyNumberFormat="1" applyFont="1" applyAlignment="1">
      <alignment horizontal="left" vertical="center"/>
    </xf>
    <xf numFmtId="0" fontId="11" fillId="0" borderId="1" xfId="0" applyNumberFormat="1" applyFont="1" applyBorder="1" applyAlignment="1">
      <alignment horizontal="left" vertical="center" justifyLastLine="1"/>
    </xf>
    <xf numFmtId="0" fontId="1" fillId="0" borderId="1" xfId="0" applyNumberFormat="1" applyFont="1" applyBorder="1" applyAlignment="1">
      <alignment horizontal="distributed" vertical="center" justifyLastLine="1"/>
    </xf>
    <xf numFmtId="0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 justifyLastLine="1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11" fillId="0" borderId="0" xfId="0" applyFont="1" applyFill="1">
      <alignment vertical="center"/>
    </xf>
    <xf numFmtId="0" fontId="0" fillId="0" borderId="16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3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23" xfId="0" applyFill="1" applyBorder="1">
      <alignment vertical="center"/>
    </xf>
    <xf numFmtId="0" fontId="0" fillId="0" borderId="24" xfId="0" applyFill="1" applyBorder="1">
      <alignment vertical="center"/>
    </xf>
    <xf numFmtId="0" fontId="0" fillId="0" borderId="26" xfId="0" applyFill="1" applyBorder="1">
      <alignment vertical="center"/>
    </xf>
    <xf numFmtId="0" fontId="0" fillId="0" borderId="0" xfId="0" applyFill="1" applyBorder="1" applyAlignment="1">
      <alignment horizontal="distributed" vertical="center" indent="1"/>
    </xf>
    <xf numFmtId="177" fontId="0" fillId="0" borderId="0" xfId="0" applyNumberForma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2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4" xfId="0" applyNumberFormat="1" applyFont="1" applyFill="1" applyBorder="1" applyAlignment="1">
      <alignment vertical="center"/>
    </xf>
    <xf numFmtId="0" fontId="10" fillId="0" borderId="5" xfId="0" applyNumberFormat="1" applyFont="1" applyFill="1" applyBorder="1" applyAlignment="1">
      <alignment vertical="center"/>
    </xf>
    <xf numFmtId="0" fontId="10" fillId="0" borderId="6" xfId="0" applyNumberFormat="1" applyFont="1" applyFill="1" applyBorder="1" applyAlignment="1">
      <alignment vertical="center"/>
    </xf>
    <xf numFmtId="0" fontId="12" fillId="0" borderId="4" xfId="0" applyNumberFormat="1" applyFont="1" applyFill="1" applyBorder="1" applyAlignment="1">
      <alignment vertical="center"/>
    </xf>
    <xf numFmtId="0" fontId="12" fillId="0" borderId="5" xfId="0" applyNumberFormat="1" applyFont="1" applyFill="1" applyBorder="1" applyAlignment="1">
      <alignment vertical="center"/>
    </xf>
    <xf numFmtId="0" fontId="12" fillId="0" borderId="6" xfId="0" applyNumberFormat="1" applyFont="1" applyFill="1" applyBorder="1" applyAlignment="1">
      <alignment vertical="center"/>
    </xf>
    <xf numFmtId="0" fontId="10" fillId="0" borderId="3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10" fillId="0" borderId="7" xfId="0" applyNumberFormat="1" applyFont="1" applyFill="1" applyBorder="1" applyAlignment="1">
      <alignment vertical="center"/>
    </xf>
    <xf numFmtId="0" fontId="12" fillId="0" borderId="3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2" fillId="0" borderId="7" xfId="0" applyNumberFormat="1" applyFont="1" applyFill="1" applyBorder="1" applyAlignment="1">
      <alignment vertical="center"/>
    </xf>
    <xf numFmtId="0" fontId="0" fillId="0" borderId="3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7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0" fillId="0" borderId="8" xfId="0" applyNumberFormat="1" applyFont="1" applyFill="1" applyBorder="1" applyAlignment="1">
      <alignment vertical="center"/>
    </xf>
    <xf numFmtId="0" fontId="10" fillId="0" borderId="9" xfId="0" applyNumberFormat="1" applyFont="1" applyFill="1" applyBorder="1" applyAlignment="1">
      <alignment vertical="center"/>
    </xf>
    <xf numFmtId="0" fontId="0" fillId="0" borderId="9" xfId="0" applyNumberFormat="1" applyFont="1" applyFill="1" applyBorder="1" applyAlignment="1">
      <alignment vertical="center"/>
    </xf>
    <xf numFmtId="0" fontId="0" fillId="0" borderId="10" xfId="0" applyNumberFormat="1" applyFont="1" applyFill="1" applyBorder="1" applyAlignment="1">
      <alignment vertical="center"/>
    </xf>
    <xf numFmtId="0" fontId="10" fillId="0" borderId="16" xfId="0" quotePrefix="1" applyNumberFormat="1" applyFont="1" applyFill="1" applyBorder="1" applyAlignment="1">
      <alignment vertical="center" shrinkToFit="1"/>
    </xf>
    <xf numFmtId="0" fontId="0" fillId="0" borderId="18" xfId="0" applyNumberFormat="1" applyFont="1" applyFill="1" applyBorder="1" applyAlignment="1">
      <alignment vertical="center"/>
    </xf>
    <xf numFmtId="0" fontId="10" fillId="0" borderId="3" xfId="0" quotePrefix="1" applyNumberFormat="1" applyFont="1" applyFill="1" applyBorder="1" applyAlignment="1">
      <alignment vertical="center" shrinkToFit="1"/>
    </xf>
    <xf numFmtId="0" fontId="10" fillId="0" borderId="0" xfId="0" quotePrefix="1" applyNumberFormat="1" applyFont="1" applyFill="1" applyBorder="1" applyAlignment="1">
      <alignment vertical="center" shrinkToFit="1"/>
    </xf>
    <xf numFmtId="0" fontId="10" fillId="0" borderId="11" xfId="0" quotePrefix="1" applyNumberFormat="1" applyFont="1" applyFill="1" applyBorder="1" applyAlignment="1">
      <alignment vertical="center" shrinkToFit="1"/>
    </xf>
    <xf numFmtId="0" fontId="0" fillId="0" borderId="12" xfId="0" applyNumberFormat="1" applyFont="1" applyFill="1" applyBorder="1" applyAlignment="1">
      <alignment vertical="center"/>
    </xf>
    <xf numFmtId="0" fontId="0" fillId="0" borderId="13" xfId="0" applyNumberFormat="1" applyFont="1" applyFill="1" applyBorder="1" applyAlignment="1">
      <alignment vertical="center"/>
    </xf>
    <xf numFmtId="178" fontId="0" fillId="0" borderId="12" xfId="0" applyNumberFormat="1" applyFont="1" applyFill="1" applyBorder="1" applyAlignment="1">
      <alignment horizontal="center" vertical="center"/>
    </xf>
    <xf numFmtId="0" fontId="9" fillId="0" borderId="12" xfId="0" quotePrefix="1" applyNumberFormat="1" applyFont="1" applyFill="1" applyBorder="1" applyAlignment="1">
      <alignment vertical="center" shrinkToFit="1"/>
    </xf>
    <xf numFmtId="0" fontId="9" fillId="0" borderId="8" xfId="0" quotePrefix="1" applyNumberFormat="1" applyFont="1" applyFill="1" applyBorder="1" applyAlignment="1">
      <alignment vertical="center" shrinkToFit="1"/>
    </xf>
    <xf numFmtId="0" fontId="9" fillId="0" borderId="9" xfId="0" quotePrefix="1" applyNumberFormat="1" applyFont="1" applyFill="1" applyBorder="1" applyAlignment="1">
      <alignment vertical="center" shrinkToFit="1"/>
    </xf>
    <xf numFmtId="0" fontId="9" fillId="0" borderId="9" xfId="0" applyNumberFormat="1" applyFont="1" applyFill="1" applyBorder="1" applyAlignment="1">
      <alignment vertical="center"/>
    </xf>
    <xf numFmtId="0" fontId="9" fillId="0" borderId="10" xfId="0" applyNumberFormat="1" applyFont="1" applyFill="1" applyBorder="1" applyAlignment="1">
      <alignment vertical="center"/>
    </xf>
    <xf numFmtId="0" fontId="12" fillId="0" borderId="9" xfId="0" applyNumberFormat="1" applyFont="1" applyFill="1" applyBorder="1" applyAlignment="1">
      <alignment vertical="center"/>
    </xf>
    <xf numFmtId="0" fontId="0" fillId="0" borderId="0" xfId="0" applyFont="1" applyFill="1">
      <alignment vertical="center"/>
    </xf>
    <xf numFmtId="177" fontId="0" fillId="0" borderId="5" xfId="0" applyNumberFormat="1" applyFont="1" applyFill="1" applyBorder="1" applyAlignment="1">
      <alignment horizontal="distributed" vertical="center" indent="1" shrinkToFit="1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>
      <alignment vertical="center"/>
    </xf>
    <xf numFmtId="0" fontId="16" fillId="0" borderId="5" xfId="0" applyFont="1" applyFill="1" applyBorder="1" applyAlignment="1">
      <alignment vertical="top"/>
    </xf>
    <xf numFmtId="0" fontId="0" fillId="0" borderId="6" xfId="0" applyFont="1" applyFill="1" applyBorder="1">
      <alignment vertical="center"/>
    </xf>
    <xf numFmtId="0" fontId="10" fillId="0" borderId="4" xfId="0" quotePrefix="1" applyNumberFormat="1" applyFont="1" applyFill="1" applyBorder="1" applyAlignment="1">
      <alignment vertical="center" shrinkToFit="1"/>
    </xf>
    <xf numFmtId="0" fontId="0" fillId="0" borderId="6" xfId="0" applyNumberFormat="1" applyFont="1" applyFill="1" applyBorder="1" applyAlignment="1">
      <alignment vertical="center"/>
    </xf>
    <xf numFmtId="0" fontId="9" fillId="0" borderId="3" xfId="0" quotePrefix="1" applyNumberFormat="1" applyFont="1" applyFill="1" applyBorder="1" applyAlignment="1">
      <alignment vertical="center" shrinkToFit="1"/>
    </xf>
    <xf numFmtId="0" fontId="9" fillId="0" borderId="0" xfId="0" quotePrefix="1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/>
    </xf>
    <xf numFmtId="0" fontId="13" fillId="0" borderId="3" xfId="0" applyNumberFormat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9" fillId="0" borderId="25" xfId="0" quotePrefix="1" applyNumberFormat="1" applyFont="1" applyFill="1" applyBorder="1" applyAlignment="1">
      <alignment vertical="center" shrinkToFit="1"/>
    </xf>
    <xf numFmtId="0" fontId="0" fillId="0" borderId="26" xfId="0" applyNumberFormat="1" applyFont="1" applyFill="1" applyBorder="1" applyAlignment="1">
      <alignment vertical="center"/>
    </xf>
    <xf numFmtId="0" fontId="0" fillId="0" borderId="27" xfId="0" applyNumberFormat="1" applyFont="1" applyFill="1" applyBorder="1" applyAlignment="1">
      <alignment vertical="center"/>
    </xf>
    <xf numFmtId="0" fontId="13" fillId="0" borderId="8" xfId="0" applyNumberFormat="1" applyFont="1" applyFill="1" applyBorder="1" applyAlignment="1">
      <alignment vertical="center"/>
    </xf>
    <xf numFmtId="0" fontId="13" fillId="0" borderId="9" xfId="0" applyNumberFormat="1" applyFont="1" applyFill="1" applyBorder="1" applyAlignment="1">
      <alignment vertical="center"/>
    </xf>
    <xf numFmtId="0" fontId="13" fillId="0" borderId="10" xfId="0" applyNumberFormat="1" applyFont="1" applyFill="1" applyBorder="1" applyAlignment="1">
      <alignment vertical="center"/>
    </xf>
    <xf numFmtId="0" fontId="14" fillId="0" borderId="12" xfId="0" applyFont="1" applyFill="1" applyBorder="1" applyAlignment="1">
      <alignment horizontal="center" vertical="center"/>
    </xf>
    <xf numFmtId="178" fontId="0" fillId="0" borderId="12" xfId="0" applyNumberFormat="1" applyFill="1" applyBorder="1" applyAlignment="1">
      <alignment horizontal="left" vertical="center"/>
    </xf>
    <xf numFmtId="0" fontId="9" fillId="0" borderId="12" xfId="0" applyNumberFormat="1" applyFont="1" applyFill="1" applyBorder="1" applyAlignment="1">
      <alignment vertical="center"/>
    </xf>
    <xf numFmtId="0" fontId="13" fillId="0" borderId="12" xfId="0" applyNumberFormat="1" applyFont="1" applyFill="1" applyBorder="1" applyAlignment="1">
      <alignment vertical="center"/>
    </xf>
    <xf numFmtId="0" fontId="0" fillId="0" borderId="5" xfId="0" applyFill="1" applyBorder="1">
      <alignment vertical="center"/>
    </xf>
    <xf numFmtId="0" fontId="11" fillId="0" borderId="5" xfId="0" applyFont="1" applyFill="1" applyBorder="1">
      <alignment vertical="center"/>
    </xf>
    <xf numFmtId="0" fontId="0" fillId="0" borderId="6" xfId="0" applyFill="1" applyBorder="1">
      <alignment vertical="center"/>
    </xf>
    <xf numFmtId="0" fontId="11" fillId="0" borderId="0" xfId="0" applyFont="1" applyFill="1" applyBorder="1">
      <alignment vertical="center"/>
    </xf>
    <xf numFmtId="0" fontId="7" fillId="0" borderId="14" xfId="0" applyFont="1" applyBorder="1" applyAlignment="1">
      <alignment horizontal="distributed" vertical="center"/>
    </xf>
    <xf numFmtId="0" fontId="0" fillId="0" borderId="18" xfId="0" applyNumberFormat="1" applyFill="1" applyBorder="1" applyAlignment="1">
      <alignment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shrinkToFit="1"/>
    </xf>
    <xf numFmtId="0" fontId="0" fillId="0" borderId="9" xfId="0" applyFill="1" applyBorder="1">
      <alignment vertical="center"/>
    </xf>
    <xf numFmtId="0" fontId="9" fillId="0" borderId="9" xfId="0" applyFont="1" applyFill="1" applyBorder="1" applyAlignment="1">
      <alignment vertical="center" shrinkToFit="1"/>
    </xf>
    <xf numFmtId="0" fontId="9" fillId="0" borderId="10" xfId="0" applyFont="1" applyFill="1" applyBorder="1" applyAlignment="1">
      <alignment vertical="center" shrinkToFit="1"/>
    </xf>
    <xf numFmtId="0" fontId="9" fillId="0" borderId="23" xfId="0" applyFont="1" applyFill="1" applyBorder="1" applyAlignment="1">
      <alignment vertical="center" shrinkToFit="1"/>
    </xf>
    <xf numFmtId="0" fontId="9" fillId="0" borderId="24" xfId="0" applyFont="1" applyFill="1" applyBorder="1" applyAlignment="1">
      <alignment vertical="center" shrinkToFit="1"/>
    </xf>
    <xf numFmtId="0" fontId="0" fillId="0" borderId="5" xfId="0" applyNumberFormat="1" applyFill="1" applyBorder="1" applyAlignment="1">
      <alignment horizontal="right" vertical="center" wrapText="1"/>
    </xf>
    <xf numFmtId="0" fontId="0" fillId="0" borderId="5" xfId="0" applyNumberFormat="1" applyFill="1" applyBorder="1" applyAlignment="1">
      <alignment vertical="center" wrapText="1"/>
    </xf>
    <xf numFmtId="58" fontId="0" fillId="0" borderId="5" xfId="0" applyNumberFormat="1" applyFill="1" applyBorder="1" applyAlignment="1">
      <alignment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shrinkToFit="1"/>
    </xf>
    <xf numFmtId="0" fontId="0" fillId="0" borderId="35" xfId="0" applyFill="1" applyBorder="1">
      <alignment vertical="center"/>
    </xf>
    <xf numFmtId="0" fontId="0" fillId="0" borderId="36" xfId="0" applyFill="1" applyBorder="1">
      <alignment vertical="center"/>
    </xf>
    <xf numFmtId="0" fontId="0" fillId="0" borderId="38" xfId="0" applyFill="1" applyBorder="1">
      <alignment vertical="center"/>
    </xf>
    <xf numFmtId="0" fontId="0" fillId="0" borderId="39" xfId="0" applyFill="1" applyBorder="1">
      <alignment vertical="center"/>
    </xf>
    <xf numFmtId="178" fontId="15" fillId="6" borderId="11" xfId="0" applyNumberFormat="1" applyFont="1" applyFill="1" applyBorder="1" applyAlignment="1">
      <alignment horizontal="left" vertical="center"/>
    </xf>
    <xf numFmtId="178" fontId="0" fillId="6" borderId="12" xfId="0" applyNumberFormat="1" applyFont="1" applyFill="1" applyBorder="1" applyAlignment="1">
      <alignment horizontal="center" vertical="center"/>
    </xf>
    <xf numFmtId="178" fontId="0" fillId="6" borderId="13" xfId="0" applyNumberFormat="1" applyFont="1" applyFill="1" applyBorder="1" applyAlignment="1">
      <alignment horizontal="center" vertical="center"/>
    </xf>
    <xf numFmtId="178" fontId="15" fillId="6" borderId="4" xfId="0" applyNumberFormat="1" applyFont="1" applyFill="1" applyBorder="1" applyAlignment="1">
      <alignment horizontal="left" vertical="center"/>
    </xf>
    <xf numFmtId="178" fontId="15" fillId="6" borderId="5" xfId="0" applyNumberFormat="1" applyFont="1" applyFill="1" applyBorder="1" applyAlignment="1">
      <alignment horizontal="center" vertical="center"/>
    </xf>
    <xf numFmtId="178" fontId="15" fillId="6" borderId="25" xfId="0" applyNumberFormat="1" applyFont="1" applyFill="1" applyBorder="1" applyAlignment="1">
      <alignment horizontal="left" vertical="center"/>
    </xf>
    <xf numFmtId="178" fontId="15" fillId="6" borderId="26" xfId="0" applyNumberFormat="1" applyFont="1" applyFill="1" applyBorder="1" applyAlignment="1">
      <alignment horizontal="center" vertical="center"/>
    </xf>
    <xf numFmtId="178" fontId="15" fillId="7" borderId="11" xfId="0" applyNumberFormat="1" applyFont="1" applyFill="1" applyBorder="1" applyAlignment="1">
      <alignment horizontal="left" vertical="center"/>
    </xf>
    <xf numFmtId="178" fontId="0" fillId="7" borderId="12" xfId="0" applyNumberFormat="1" applyFont="1" applyFill="1" applyBorder="1" applyAlignment="1">
      <alignment horizontal="center" vertical="center"/>
    </xf>
    <xf numFmtId="178" fontId="0" fillId="7" borderId="13" xfId="0" applyNumberFormat="1" applyFont="1" applyFill="1" applyBorder="1" applyAlignment="1">
      <alignment horizontal="center" vertical="center"/>
    </xf>
    <xf numFmtId="178" fontId="15" fillId="7" borderId="4" xfId="0" applyNumberFormat="1" applyFont="1" applyFill="1" applyBorder="1" applyAlignment="1">
      <alignment horizontal="left" vertical="center"/>
    </xf>
    <xf numFmtId="178" fontId="15" fillId="7" borderId="5" xfId="0" applyNumberFormat="1" applyFont="1" applyFill="1" applyBorder="1" applyAlignment="1">
      <alignment horizontal="center" vertical="center"/>
    </xf>
    <xf numFmtId="178" fontId="15" fillId="7" borderId="25" xfId="0" applyNumberFormat="1" applyFont="1" applyFill="1" applyBorder="1" applyAlignment="1">
      <alignment horizontal="left" vertical="center"/>
    </xf>
    <xf numFmtId="178" fontId="15" fillId="7" borderId="26" xfId="0" applyNumberFormat="1" applyFont="1" applyFill="1" applyBorder="1" applyAlignment="1">
      <alignment horizontal="center" vertical="center"/>
    </xf>
    <xf numFmtId="0" fontId="0" fillId="8" borderId="0" xfId="0" applyFill="1">
      <alignment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3" xfId="0" applyFill="1" applyBorder="1">
      <alignment vertical="center"/>
    </xf>
    <xf numFmtId="14" fontId="0" fillId="9" borderId="2" xfId="0" applyNumberFormat="1" applyFill="1" applyBorder="1">
      <alignment vertical="center"/>
    </xf>
    <xf numFmtId="0" fontId="0" fillId="0" borderId="44" xfId="0" applyFill="1" applyBorder="1">
      <alignment vertical="center"/>
    </xf>
    <xf numFmtId="0" fontId="0" fillId="0" borderId="11" xfId="0" applyNumberForma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14" fontId="0" fillId="0" borderId="2" xfId="0" applyNumberFormat="1" applyBorder="1">
      <alignment vertical="center"/>
    </xf>
    <xf numFmtId="0" fontId="0" fillId="0" borderId="2" xfId="0" applyFill="1" applyBorder="1" applyAlignment="1">
      <alignment horizontal="right" vertical="center"/>
    </xf>
    <xf numFmtId="0" fontId="0" fillId="9" borderId="45" xfId="0" applyFill="1" applyBorder="1" applyAlignment="1">
      <alignment horizontal="center" vertical="center"/>
    </xf>
    <xf numFmtId="0" fontId="20" fillId="9" borderId="45" xfId="0" applyFont="1" applyFill="1" applyBorder="1" applyAlignment="1">
      <alignment horizontal="center" vertical="center"/>
    </xf>
    <xf numFmtId="0" fontId="21" fillId="8" borderId="0" xfId="0" applyFont="1" applyFill="1" applyAlignment="1">
      <alignment horizontal="center" vertical="center"/>
    </xf>
    <xf numFmtId="0" fontId="21" fillId="8" borderId="0" xfId="0" applyFont="1" applyFill="1" applyAlignment="1">
      <alignment horizontal="left" vertical="center"/>
    </xf>
    <xf numFmtId="0" fontId="0" fillId="8" borderId="43" xfId="0" applyFill="1" applyBorder="1">
      <alignment vertical="center"/>
    </xf>
    <xf numFmtId="0" fontId="0" fillId="8" borderId="44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>
      <alignment vertical="center"/>
    </xf>
    <xf numFmtId="49" fontId="1" fillId="5" borderId="33" xfId="0" applyNumberFormat="1" applyFont="1" applyFill="1" applyBorder="1" applyAlignment="1" applyProtection="1">
      <alignment horizontal="left" vertical="center"/>
      <protection locked="0"/>
    </xf>
    <xf numFmtId="49" fontId="1" fillId="5" borderId="12" xfId="0" applyNumberFormat="1" applyFont="1" applyFill="1" applyBorder="1" applyAlignment="1" applyProtection="1">
      <alignment horizontal="left" vertical="center"/>
      <protection locked="0"/>
    </xf>
    <xf numFmtId="49" fontId="1" fillId="5" borderId="13" xfId="0" applyNumberFormat="1" applyFont="1" applyFill="1" applyBorder="1" applyAlignment="1" applyProtection="1">
      <alignment horizontal="left" vertical="center"/>
      <protection locked="0"/>
    </xf>
    <xf numFmtId="58" fontId="11" fillId="0" borderId="37" xfId="0" applyNumberFormat="1" applyFont="1" applyFill="1" applyBorder="1" applyAlignment="1">
      <alignment horizontal="distributed" vertical="center" indent="1" shrinkToFit="1"/>
    </xf>
    <xf numFmtId="0" fontId="11" fillId="0" borderId="38" xfId="0" applyNumberFormat="1" applyFont="1" applyFill="1" applyBorder="1" applyAlignment="1">
      <alignment horizontal="distributed" vertical="center" indent="1" shrinkToFit="1"/>
    </xf>
    <xf numFmtId="0" fontId="0" fillId="0" borderId="38" xfId="0" applyFill="1" applyBorder="1" applyAlignment="1">
      <alignment horizontal="center" vertical="center"/>
    </xf>
    <xf numFmtId="58" fontId="11" fillId="0" borderId="38" xfId="0" applyNumberFormat="1" applyFont="1" applyFill="1" applyBorder="1" applyAlignment="1">
      <alignment horizontal="distributed" vertical="center" indent="1" shrinkToFit="1"/>
    </xf>
    <xf numFmtId="0" fontId="0" fillId="0" borderId="22" xfId="0" applyFill="1" applyBorder="1" applyAlignment="1">
      <alignment horizontal="distributed" vertical="center" indent="1"/>
    </xf>
    <xf numFmtId="0" fontId="0" fillId="0" borderId="23" xfId="0" applyFill="1" applyBorder="1" applyAlignment="1">
      <alignment horizontal="distributed" vertical="center" indent="1"/>
    </xf>
    <xf numFmtId="0" fontId="0" fillId="0" borderId="24" xfId="0" applyFill="1" applyBorder="1" applyAlignment="1">
      <alignment horizontal="distributed" vertical="center" indent="1"/>
    </xf>
    <xf numFmtId="58" fontId="11" fillId="0" borderId="22" xfId="0" applyNumberFormat="1" applyFont="1" applyFill="1" applyBorder="1" applyAlignment="1">
      <alignment horizontal="distributed" vertical="center" indent="1" shrinkToFit="1"/>
    </xf>
    <xf numFmtId="0" fontId="11" fillId="0" borderId="23" xfId="0" applyNumberFormat="1" applyFont="1" applyFill="1" applyBorder="1" applyAlignment="1">
      <alignment horizontal="distributed" vertical="center" indent="1" shrinkToFit="1"/>
    </xf>
    <xf numFmtId="0" fontId="0" fillId="0" borderId="23" xfId="0" applyFill="1" applyBorder="1" applyAlignment="1">
      <alignment horizontal="center" vertical="center"/>
    </xf>
    <xf numFmtId="58" fontId="11" fillId="0" borderId="23" xfId="0" applyNumberFormat="1" applyFont="1" applyFill="1" applyBorder="1" applyAlignment="1">
      <alignment horizontal="distributed" vertical="center" indent="1" shrinkToFi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49" fontId="0" fillId="0" borderId="17" xfId="0" applyNumberFormat="1" applyFill="1" applyBorder="1" applyAlignment="1">
      <alignment vertical="center"/>
    </xf>
    <xf numFmtId="0" fontId="0" fillId="0" borderId="17" xfId="0" applyNumberFormat="1" applyFill="1" applyBorder="1" applyAlignment="1">
      <alignment vertical="center"/>
    </xf>
    <xf numFmtId="49" fontId="0" fillId="0" borderId="20" xfId="0" applyNumberFormat="1" applyFill="1" applyBorder="1" applyAlignment="1">
      <alignment horizontal="center" vertical="center"/>
    </xf>
    <xf numFmtId="0" fontId="0" fillId="0" borderId="20" xfId="0" applyNumberFormat="1" applyFill="1" applyBorder="1" applyAlignment="1">
      <alignment horizontal="center" vertical="center"/>
    </xf>
    <xf numFmtId="49" fontId="0" fillId="0" borderId="9" xfId="0" applyNumberFormat="1" applyFill="1" applyBorder="1" applyAlignment="1">
      <alignment horizontal="center" vertical="center"/>
    </xf>
    <xf numFmtId="0" fontId="0" fillId="0" borderId="9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 shrinkToFit="1"/>
    </xf>
    <xf numFmtId="0" fontId="0" fillId="0" borderId="5" xfId="0" applyNumberFormat="1" applyFill="1" applyBorder="1" applyAlignment="1">
      <alignment horizontal="center" vertical="center" shrinkToFit="1"/>
    </xf>
    <xf numFmtId="0" fontId="12" fillId="0" borderId="3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3" fillId="0" borderId="0" xfId="0" applyNumberFormat="1" applyFont="1" applyFill="1" applyBorder="1" applyAlignment="1">
      <alignment horizontal="center" vertical="center" shrinkToFit="1"/>
    </xf>
    <xf numFmtId="0" fontId="13" fillId="0" borderId="7" xfId="0" applyNumberFormat="1" applyFont="1" applyFill="1" applyBorder="1" applyAlignment="1">
      <alignment horizontal="center" vertical="center" shrinkToFi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0" fillId="0" borderId="5" xfId="0" quotePrefix="1" applyNumberFormat="1" applyFont="1" applyFill="1" applyBorder="1" applyAlignment="1">
      <alignment horizontal="center" vertical="center" shrinkToFit="1"/>
    </xf>
    <xf numFmtId="0" fontId="10" fillId="0" borderId="26" xfId="0" quotePrefix="1" applyNumberFormat="1" applyFont="1" applyFill="1" applyBorder="1" applyAlignment="1">
      <alignment horizontal="center" vertical="center" shrinkToFit="1"/>
    </xf>
    <xf numFmtId="0" fontId="9" fillId="0" borderId="26" xfId="0" applyNumberFormat="1" applyFont="1" applyFill="1" applyBorder="1" applyAlignment="1">
      <alignment horizontal="center" vertical="center" shrinkToFit="1"/>
    </xf>
    <xf numFmtId="0" fontId="10" fillId="0" borderId="12" xfId="0" quotePrefix="1" applyNumberFormat="1" applyFont="1" applyFill="1" applyBorder="1" applyAlignment="1">
      <alignment horizontal="center" vertical="center" shrinkToFit="1"/>
    </xf>
    <xf numFmtId="0" fontId="0" fillId="6" borderId="11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 shrinkToFit="1"/>
    </xf>
    <xf numFmtId="0" fontId="9" fillId="0" borderId="3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applyNumberFormat="1" applyFont="1" applyFill="1" applyBorder="1" applyAlignment="1">
      <alignment horizontal="center" vertical="center" shrinkToFit="1"/>
    </xf>
    <xf numFmtId="0" fontId="0" fillId="0" borderId="30" xfId="0" applyFill="1" applyBorder="1" applyAlignment="1">
      <alignment horizontal="center" vertical="center"/>
    </xf>
    <xf numFmtId="178" fontId="12" fillId="0" borderId="30" xfId="0" applyNumberFormat="1" applyFont="1" applyFill="1" applyBorder="1" applyAlignment="1">
      <alignment horizontal="center" vertical="center"/>
    </xf>
    <xf numFmtId="178" fontId="12" fillId="0" borderId="25" xfId="0" applyNumberFormat="1" applyFont="1" applyFill="1" applyBorder="1" applyAlignment="1">
      <alignment horizontal="center" vertical="center"/>
    </xf>
    <xf numFmtId="178" fontId="11" fillId="0" borderId="27" xfId="0" applyNumberFormat="1" applyFont="1" applyFill="1" applyBorder="1" applyAlignment="1">
      <alignment horizontal="center" vertical="center"/>
    </xf>
    <xf numFmtId="178" fontId="11" fillId="0" borderId="25" xfId="0" applyNumberFormat="1" applyFont="1" applyFill="1" applyBorder="1" applyAlignment="1">
      <alignment horizontal="center" vertical="center"/>
    </xf>
    <xf numFmtId="178" fontId="12" fillId="0" borderId="27" xfId="0" applyNumberFormat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78" fontId="12" fillId="0" borderId="28" xfId="0" applyNumberFormat="1" applyFont="1" applyFill="1" applyBorder="1" applyAlignment="1">
      <alignment horizontal="center" vertical="center"/>
    </xf>
    <xf numFmtId="178" fontId="12" fillId="0" borderId="16" xfId="0" applyNumberFormat="1" applyFont="1" applyFill="1" applyBorder="1" applyAlignment="1">
      <alignment horizontal="center" vertical="center"/>
    </xf>
    <xf numFmtId="178" fontId="11" fillId="0" borderId="18" xfId="0" applyNumberFormat="1" applyFont="1" applyFill="1" applyBorder="1" applyAlignment="1">
      <alignment horizontal="center" vertical="center"/>
    </xf>
    <xf numFmtId="178" fontId="11" fillId="0" borderId="16" xfId="0" applyNumberFormat="1" applyFont="1" applyFill="1" applyBorder="1" applyAlignment="1">
      <alignment horizontal="center" vertical="center"/>
    </xf>
    <xf numFmtId="178" fontId="12" fillId="0" borderId="18" xfId="0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178" fontId="12" fillId="0" borderId="29" xfId="0" applyNumberFormat="1" applyFont="1" applyFill="1" applyBorder="1" applyAlignment="1">
      <alignment horizontal="center" vertical="center"/>
    </xf>
    <xf numFmtId="178" fontId="12" fillId="0" borderId="22" xfId="0" applyNumberFormat="1" applyFont="1" applyFill="1" applyBorder="1" applyAlignment="1">
      <alignment horizontal="center" vertical="center"/>
    </xf>
    <xf numFmtId="178" fontId="11" fillId="0" borderId="24" xfId="0" applyNumberFormat="1" applyFont="1" applyFill="1" applyBorder="1" applyAlignment="1">
      <alignment horizontal="center" vertical="center"/>
    </xf>
    <xf numFmtId="178" fontId="11" fillId="0" borderId="22" xfId="0" applyNumberFormat="1" applyFont="1" applyFill="1" applyBorder="1" applyAlignment="1">
      <alignment horizontal="center" vertical="center"/>
    </xf>
    <xf numFmtId="178" fontId="12" fillId="0" borderId="24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10" fillId="0" borderId="17" xfId="0" applyNumberFormat="1" applyFont="1" applyFill="1" applyBorder="1" applyAlignment="1">
      <alignment horizontal="center" vertical="center"/>
    </xf>
    <xf numFmtId="177" fontId="14" fillId="0" borderId="25" xfId="0" applyNumberFormat="1" applyFont="1" applyFill="1" applyBorder="1" applyAlignment="1">
      <alignment horizontal="center" vertical="center" wrapText="1" shrinkToFit="1"/>
    </xf>
    <xf numFmtId="177" fontId="14" fillId="0" borderId="26" xfId="0" applyNumberFormat="1" applyFont="1" applyFill="1" applyBorder="1" applyAlignment="1">
      <alignment horizontal="center" vertical="center" wrapText="1" shrinkToFit="1"/>
    </xf>
    <xf numFmtId="177" fontId="14" fillId="0" borderId="31" xfId="0" applyNumberFormat="1" applyFont="1" applyFill="1" applyBorder="1" applyAlignment="1">
      <alignment horizontal="center" vertical="center" wrapText="1" shrinkToFit="1"/>
    </xf>
    <xf numFmtId="177" fontId="0" fillId="0" borderId="32" xfId="0" applyNumberFormat="1" applyFont="1" applyFill="1" applyBorder="1" applyAlignment="1">
      <alignment horizontal="center" vertical="center" shrinkToFit="1"/>
    </xf>
    <xf numFmtId="177" fontId="0" fillId="0" borderId="26" xfId="0" applyNumberFormat="1" applyFont="1" applyFill="1" applyBorder="1" applyAlignment="1">
      <alignment horizontal="center" vertical="center" shrinkToFit="1"/>
    </xf>
    <xf numFmtId="177" fontId="19" fillId="0" borderId="26" xfId="0" applyNumberFormat="1" applyFont="1" applyFill="1" applyBorder="1" applyAlignment="1">
      <alignment horizontal="center" vertical="center" shrinkToFit="1"/>
    </xf>
    <xf numFmtId="177" fontId="14" fillId="0" borderId="26" xfId="0" applyNumberFormat="1" applyFont="1" applyFill="1" applyBorder="1" applyAlignment="1">
      <alignment horizontal="center" vertical="center" shrinkToFit="1"/>
    </xf>
    <xf numFmtId="177" fontId="19" fillId="0" borderId="27" xfId="0" applyNumberFormat="1" applyFont="1" applyFill="1" applyBorder="1" applyAlignment="1">
      <alignment horizontal="center" vertical="center" shrinkToFi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177" fontId="15" fillId="0" borderId="16" xfId="0" applyNumberFormat="1" applyFont="1" applyFill="1" applyBorder="1" applyAlignment="1">
      <alignment horizontal="center" vertical="center" shrinkToFit="1"/>
    </xf>
    <xf numFmtId="177" fontId="15" fillId="0" borderId="17" xfId="0" applyNumberFormat="1" applyFont="1" applyFill="1" applyBorder="1" applyAlignment="1">
      <alignment horizontal="center" vertical="center" shrinkToFit="1"/>
    </xf>
    <xf numFmtId="0" fontId="10" fillId="0" borderId="17" xfId="0" applyNumberFormat="1" applyFont="1" applyFill="1" applyBorder="1" applyAlignment="1">
      <alignment horizontal="center" vertical="center" shrinkToFit="1"/>
    </xf>
    <xf numFmtId="177" fontId="0" fillId="0" borderId="17" xfId="0" applyNumberFormat="1" applyFont="1" applyFill="1" applyBorder="1" applyAlignment="1">
      <alignment horizontal="center" vertical="center" shrinkToFit="1"/>
    </xf>
    <xf numFmtId="0" fontId="14" fillId="6" borderId="11" xfId="0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/>
    </xf>
    <xf numFmtId="0" fontId="9" fillId="0" borderId="12" xfId="0" quotePrefix="1" applyNumberFormat="1" applyFont="1" applyFill="1" applyBorder="1" applyAlignment="1">
      <alignment horizontal="center" vertical="center" shrinkToFit="1"/>
    </xf>
    <xf numFmtId="179" fontId="9" fillId="0" borderId="12" xfId="0" applyNumberFormat="1" applyFont="1" applyFill="1" applyBorder="1" applyAlignment="1">
      <alignment horizontal="center" vertical="center" shrinkToFit="1"/>
    </xf>
    <xf numFmtId="0" fontId="12" fillId="0" borderId="8" xfId="0" applyNumberFormat="1" applyFont="1" applyFill="1" applyBorder="1" applyAlignment="1">
      <alignment horizontal="center" vertical="center" shrinkToFit="1"/>
    </xf>
    <xf numFmtId="0" fontId="12" fillId="0" borderId="9" xfId="0" applyNumberFormat="1" applyFont="1" applyFill="1" applyBorder="1" applyAlignment="1">
      <alignment horizontal="center" vertical="center" shrinkToFit="1"/>
    </xf>
    <xf numFmtId="0" fontId="13" fillId="0" borderId="9" xfId="0" applyNumberFormat="1" applyFont="1" applyFill="1" applyBorder="1" applyAlignment="1">
      <alignment horizontal="center" vertical="center" shrinkToFit="1"/>
    </xf>
    <xf numFmtId="0" fontId="13" fillId="0" borderId="10" xfId="0" applyNumberFormat="1" applyFont="1" applyFill="1" applyBorder="1" applyAlignment="1">
      <alignment horizontal="center" vertical="center" shrinkToFit="1"/>
    </xf>
    <xf numFmtId="0" fontId="0" fillId="0" borderId="34" xfId="0" applyFill="1" applyBorder="1" applyAlignment="1">
      <alignment horizontal="distributed" vertical="center" indent="1"/>
    </xf>
    <xf numFmtId="0" fontId="0" fillId="0" borderId="35" xfId="0" applyFill="1" applyBorder="1" applyAlignment="1">
      <alignment horizontal="distributed" vertical="center" indent="1"/>
    </xf>
    <xf numFmtId="0" fontId="0" fillId="0" borderId="36" xfId="0" applyFill="1" applyBorder="1" applyAlignment="1">
      <alignment horizontal="distributed" vertical="center" indent="1"/>
    </xf>
    <xf numFmtId="58" fontId="11" fillId="0" borderId="34" xfId="0" applyNumberFormat="1" applyFont="1" applyFill="1" applyBorder="1" applyAlignment="1">
      <alignment horizontal="distributed" vertical="center" indent="1" shrinkToFit="1"/>
    </xf>
    <xf numFmtId="0" fontId="11" fillId="0" borderId="35" xfId="0" applyNumberFormat="1" applyFont="1" applyFill="1" applyBorder="1" applyAlignment="1">
      <alignment horizontal="distributed" vertical="center" indent="1" shrinkToFit="1"/>
    </xf>
    <xf numFmtId="0" fontId="0" fillId="0" borderId="35" xfId="0" applyFill="1" applyBorder="1" applyAlignment="1">
      <alignment horizontal="center" vertical="center"/>
    </xf>
    <xf numFmtId="58" fontId="11" fillId="0" borderId="35" xfId="0" applyNumberFormat="1" applyFont="1" applyFill="1" applyBorder="1" applyAlignment="1">
      <alignment horizontal="distributed" vertical="center" indent="1" shrinkToFit="1"/>
    </xf>
    <xf numFmtId="0" fontId="0" fillId="0" borderId="3" xfId="0" applyFill="1" applyBorder="1" applyAlignment="1">
      <alignment horizontal="distributed" vertical="center" indent="1"/>
    </xf>
    <xf numFmtId="0" fontId="0" fillId="0" borderId="0" xfId="0" applyFill="1" applyBorder="1" applyAlignment="1">
      <alignment horizontal="distributed" vertical="center" indent="1"/>
    </xf>
    <xf numFmtId="0" fontId="0" fillId="0" borderId="7" xfId="0" applyFill="1" applyBorder="1" applyAlignment="1">
      <alignment horizontal="distributed" vertical="center" indent="1"/>
    </xf>
    <xf numFmtId="58" fontId="11" fillId="0" borderId="3" xfId="0" applyNumberFormat="1" applyFont="1" applyFill="1" applyBorder="1" applyAlignment="1">
      <alignment horizontal="distributed" vertical="center" indent="1" shrinkToFit="1"/>
    </xf>
    <xf numFmtId="0" fontId="11" fillId="0" borderId="0" xfId="0" applyNumberFormat="1" applyFont="1" applyFill="1" applyBorder="1" applyAlignment="1">
      <alignment horizontal="distributed" vertical="center" indent="1" shrinkToFit="1"/>
    </xf>
    <xf numFmtId="0" fontId="0" fillId="0" borderId="0" xfId="0" applyFill="1" applyBorder="1" applyAlignment="1">
      <alignment horizontal="center" vertical="center"/>
    </xf>
    <xf numFmtId="58" fontId="11" fillId="0" borderId="0" xfId="0" applyNumberFormat="1" applyFont="1" applyFill="1" applyBorder="1" applyAlignment="1">
      <alignment horizontal="distributed" vertical="center" indent="1" shrinkToFit="1"/>
    </xf>
    <xf numFmtId="0" fontId="0" fillId="0" borderId="8" xfId="0" applyFill="1" applyBorder="1" applyAlignment="1">
      <alignment horizontal="distributed" vertical="center" indent="1"/>
    </xf>
    <xf numFmtId="0" fontId="0" fillId="0" borderId="9" xfId="0" applyFill="1" applyBorder="1" applyAlignment="1">
      <alignment horizontal="distributed" vertical="center" indent="1"/>
    </xf>
    <xf numFmtId="0" fontId="0" fillId="0" borderId="10" xfId="0" applyFill="1" applyBorder="1" applyAlignment="1">
      <alignment horizontal="distributed" vertical="center" indent="1"/>
    </xf>
    <xf numFmtId="58" fontId="11" fillId="0" borderId="8" xfId="0" applyNumberFormat="1" applyFont="1" applyFill="1" applyBorder="1" applyAlignment="1">
      <alignment horizontal="distributed" vertical="center" indent="1" shrinkToFit="1"/>
    </xf>
    <xf numFmtId="0" fontId="11" fillId="0" borderId="9" xfId="0" applyNumberFormat="1" applyFont="1" applyFill="1" applyBorder="1" applyAlignment="1">
      <alignment horizontal="distributed" vertical="center" indent="1" shrinkToFit="1"/>
    </xf>
    <xf numFmtId="58" fontId="11" fillId="0" borderId="9" xfId="0" applyNumberFormat="1" applyFont="1" applyFill="1" applyBorder="1" applyAlignment="1">
      <alignment horizontal="distributed" vertical="center" indent="1" shrinkToFit="1"/>
    </xf>
    <xf numFmtId="0" fontId="0" fillId="0" borderId="37" xfId="0" applyFill="1" applyBorder="1" applyAlignment="1">
      <alignment horizontal="distributed" vertical="center" indent="1"/>
    </xf>
    <xf numFmtId="0" fontId="0" fillId="0" borderId="38" xfId="0" applyFill="1" applyBorder="1" applyAlignment="1">
      <alignment horizontal="distributed" vertical="center" indent="1"/>
    </xf>
    <xf numFmtId="0" fontId="0" fillId="0" borderId="39" xfId="0" applyFill="1" applyBorder="1" applyAlignment="1">
      <alignment horizontal="distributed" vertical="center" indent="1"/>
    </xf>
    <xf numFmtId="0" fontId="0" fillId="0" borderId="8" xfId="0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0" fontId="0" fillId="0" borderId="10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distributed" vertical="center" indent="1"/>
    </xf>
    <xf numFmtId="0" fontId="0" fillId="0" borderId="5" xfId="0" applyFill="1" applyBorder="1" applyAlignment="1">
      <alignment horizontal="distributed" vertical="center" indent="1"/>
    </xf>
    <xf numFmtId="0" fontId="0" fillId="0" borderId="6" xfId="0" applyFill="1" applyBorder="1" applyAlignment="1">
      <alignment horizontal="distributed" vertical="center" indent="1"/>
    </xf>
    <xf numFmtId="0" fontId="12" fillId="0" borderId="0" xfId="0" applyFont="1" applyFill="1" applyAlignment="1">
      <alignment horizontal="distributed" vertical="center" indent="3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0" fontId="0" fillId="0" borderId="5" xfId="0" applyNumberFormat="1" applyFill="1" applyBorder="1" applyAlignment="1">
      <alignment horizontal="center" vertical="center"/>
    </xf>
    <xf numFmtId="0" fontId="0" fillId="0" borderId="6" xfId="0" applyNumberForma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7" xfId="0" applyNumberForma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58" fontId="1" fillId="0" borderId="0" xfId="0" applyNumberFormat="1" applyFont="1" applyAlignment="1">
      <alignment horizontal="distributed" vertical="center" justifyLastLine="1"/>
    </xf>
    <xf numFmtId="0" fontId="1" fillId="0" borderId="0" xfId="0" applyFont="1">
      <alignment vertical="center"/>
    </xf>
    <xf numFmtId="0" fontId="10" fillId="0" borderId="0" xfId="0" applyFont="1" applyAlignment="1">
      <alignment horizontal="left" vertical="center" shrinkToFit="1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49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49" fontId="1" fillId="5" borderId="33" xfId="0" applyNumberFormat="1" applyFont="1" applyFill="1" applyBorder="1" applyProtection="1">
      <alignment vertical="center"/>
      <protection locked="0"/>
    </xf>
    <xf numFmtId="49" fontId="1" fillId="5" borderId="12" xfId="0" applyNumberFormat="1" applyFont="1" applyFill="1" applyBorder="1" applyProtection="1">
      <alignment vertical="center"/>
      <protection locked="0"/>
    </xf>
    <xf numFmtId="49" fontId="1" fillId="5" borderId="13" xfId="0" applyNumberFormat="1" applyFont="1" applyFill="1" applyBorder="1" applyProtection="1">
      <alignment vertical="center"/>
      <protection locked="0"/>
    </xf>
    <xf numFmtId="0" fontId="1" fillId="0" borderId="0" xfId="0" applyNumberFormat="1" applyFont="1" applyAlignment="1">
      <alignment horizontal="right" vertical="center" justifyLastLine="1"/>
    </xf>
    <xf numFmtId="0" fontId="7" fillId="0" borderId="5" xfId="0" applyNumberFormat="1" applyFont="1" applyBorder="1">
      <alignment vertical="center"/>
    </xf>
    <xf numFmtId="0" fontId="7" fillId="0" borderId="6" xfId="0" applyNumberFormat="1" applyFont="1" applyBorder="1">
      <alignment vertical="center"/>
    </xf>
    <xf numFmtId="0" fontId="7" fillId="0" borderId="9" xfId="0" applyNumberFormat="1" applyFont="1" applyBorder="1">
      <alignment vertical="center"/>
    </xf>
    <xf numFmtId="0" fontId="7" fillId="0" borderId="10" xfId="0" applyNumberFormat="1" applyFont="1" applyBorder="1">
      <alignment vertical="center"/>
    </xf>
    <xf numFmtId="0" fontId="1" fillId="0" borderId="0" xfId="0" applyNumberFormat="1" applyFont="1" applyAlignment="1">
      <alignment horizontal="right" vertical="center"/>
    </xf>
    <xf numFmtId="0" fontId="14" fillId="7" borderId="4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14" fillId="7" borderId="10" xfId="0" applyFont="1" applyFill="1" applyBorder="1" applyAlignment="1">
      <alignment horizontal="center" vertical="center" wrapText="1"/>
    </xf>
    <xf numFmtId="0" fontId="10" fillId="0" borderId="12" xfId="0" quotePrefix="1" applyNumberFormat="1" applyFont="1" applyFill="1" applyBorder="1" applyAlignment="1">
      <alignment horizontal="right" vertical="center" shrinkToFit="1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right" vertical="center" shrinkToFit="1"/>
    </xf>
    <xf numFmtId="0" fontId="9" fillId="0" borderId="3" xfId="0" quotePrefix="1" applyNumberFormat="1" applyFont="1" applyFill="1" applyBorder="1" applyAlignment="1">
      <alignment horizontal="right" vertical="center" shrinkToFit="1"/>
    </xf>
    <xf numFmtId="0" fontId="9" fillId="0" borderId="0" xfId="0" quotePrefix="1" applyNumberFormat="1" applyFont="1" applyFill="1" applyBorder="1" applyAlignment="1">
      <alignment horizontal="right" vertical="center" shrinkToFit="1"/>
    </xf>
    <xf numFmtId="0" fontId="9" fillId="0" borderId="0" xfId="0" applyNumberFormat="1" applyFont="1" applyFill="1" applyBorder="1" applyAlignment="1">
      <alignment horizontal="right" vertical="center" shrinkToFit="1"/>
    </xf>
    <xf numFmtId="180" fontId="0" fillId="0" borderId="30" xfId="0" applyNumberFormat="1" applyFill="1" applyBorder="1" applyAlignment="1">
      <alignment horizontal="center" vertical="center"/>
    </xf>
    <xf numFmtId="180" fontId="0" fillId="0" borderId="29" xfId="0" applyNumberForma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right" vertical="center"/>
    </xf>
    <xf numFmtId="180" fontId="0" fillId="0" borderId="28" xfId="0" applyNumberFormat="1" applyFill="1" applyBorder="1" applyAlignment="1">
      <alignment horizontal="center" vertical="center"/>
    </xf>
    <xf numFmtId="49" fontId="10" fillId="0" borderId="17" xfId="0" applyNumberFormat="1" applyFont="1" applyFill="1" applyBorder="1" applyAlignment="1">
      <alignment horizontal="center" vertical="center"/>
    </xf>
    <xf numFmtId="49" fontId="10" fillId="0" borderId="17" xfId="0" applyNumberFormat="1" applyFont="1" applyFill="1" applyBorder="1" applyAlignment="1">
      <alignment horizontal="center" vertical="center" shrinkToFit="1"/>
    </xf>
    <xf numFmtId="0" fontId="14" fillId="7" borderId="11" xfId="0" applyFont="1" applyFill="1" applyBorder="1" applyAlignment="1">
      <alignment horizontal="center" vertical="center"/>
    </xf>
    <xf numFmtId="0" fontId="14" fillId="7" borderId="12" xfId="0" applyFont="1" applyFill="1" applyBorder="1" applyAlignment="1">
      <alignment horizontal="center" vertical="center"/>
    </xf>
    <xf numFmtId="0" fontId="9" fillId="0" borderId="12" xfId="0" quotePrefix="1" applyNumberFormat="1" applyFont="1" applyFill="1" applyBorder="1" applyAlignment="1">
      <alignment horizontal="right" vertical="center" shrinkToFit="1"/>
    </xf>
    <xf numFmtId="179" fontId="9" fillId="0" borderId="12" xfId="0" applyNumberFormat="1" applyFont="1" applyFill="1" applyBorder="1" applyAlignment="1">
      <alignment horizontal="right" vertical="center" shrinkToFit="1"/>
    </xf>
    <xf numFmtId="177" fontId="11" fillId="0" borderId="22" xfId="0" applyNumberFormat="1" applyFont="1" applyFill="1" applyBorder="1" applyAlignment="1">
      <alignment horizontal="distributed" vertical="center" indent="1" shrinkToFit="1"/>
    </xf>
    <xf numFmtId="177" fontId="11" fillId="0" borderId="23" xfId="0" applyNumberFormat="1" applyFont="1" applyFill="1" applyBorder="1" applyAlignment="1">
      <alignment horizontal="distributed" vertical="center" indent="1" shrinkToFit="1"/>
    </xf>
    <xf numFmtId="0" fontId="0" fillId="0" borderId="25" xfId="0" applyFill="1" applyBorder="1" applyAlignment="1">
      <alignment horizontal="distributed" vertical="center" indent="1"/>
    </xf>
    <xf numFmtId="0" fontId="0" fillId="0" borderId="26" xfId="0" applyFill="1" applyBorder="1" applyAlignment="1">
      <alignment horizontal="distributed" vertical="center" indent="1"/>
    </xf>
    <xf numFmtId="0" fontId="0" fillId="0" borderId="27" xfId="0" applyFill="1" applyBorder="1" applyAlignment="1">
      <alignment horizontal="distributed" vertical="center" indent="1"/>
    </xf>
    <xf numFmtId="177" fontId="11" fillId="0" borderId="25" xfId="0" applyNumberFormat="1" applyFont="1" applyFill="1" applyBorder="1" applyAlignment="1">
      <alignment horizontal="distributed" vertical="center" indent="1" shrinkToFit="1"/>
    </xf>
    <xf numFmtId="177" fontId="11" fillId="0" borderId="26" xfId="0" applyNumberFormat="1" applyFont="1" applyFill="1" applyBorder="1" applyAlignment="1">
      <alignment horizontal="distributed" vertical="center" indent="1" shrinkToFit="1"/>
    </xf>
    <xf numFmtId="0" fontId="0" fillId="0" borderId="26" xfId="0" applyFill="1" applyBorder="1" applyAlignment="1">
      <alignment horizontal="center" vertical="center"/>
    </xf>
    <xf numFmtId="58" fontId="0" fillId="0" borderId="1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shrinkToFit="1"/>
    </xf>
    <xf numFmtId="0" fontId="0" fillId="0" borderId="17" xfId="0" applyNumberFormat="1" applyFill="1" applyBorder="1" applyAlignment="1">
      <alignment horizontal="center" vertical="center" shrinkToFit="1"/>
    </xf>
    <xf numFmtId="0" fontId="9" fillId="0" borderId="26" xfId="0" applyFont="1" applyFill="1" applyBorder="1" applyAlignment="1">
      <alignment horizontal="center" vertical="center" shrinkToFit="1"/>
    </xf>
    <xf numFmtId="0" fontId="9" fillId="0" borderId="27" xfId="0" applyFont="1" applyFill="1" applyBorder="1" applyAlignment="1">
      <alignment horizontal="center" vertical="center" shrinkToFit="1"/>
    </xf>
    <xf numFmtId="0" fontId="0" fillId="0" borderId="16" xfId="0" applyFill="1" applyBorder="1" applyAlignment="1">
      <alignment horizontal="distributed" vertical="center" indent="1"/>
    </xf>
    <xf numFmtId="0" fontId="0" fillId="0" borderId="17" xfId="0" applyFill="1" applyBorder="1" applyAlignment="1">
      <alignment horizontal="distributed" vertical="center" indent="1"/>
    </xf>
    <xf numFmtId="0" fontId="0" fillId="0" borderId="18" xfId="0" applyFill="1" applyBorder="1" applyAlignment="1">
      <alignment horizontal="distributed" vertical="center" indent="1"/>
    </xf>
    <xf numFmtId="0" fontId="5" fillId="0" borderId="1" xfId="0" applyFont="1" applyBorder="1" applyAlignment="1">
      <alignment horizontal="center"/>
    </xf>
    <xf numFmtId="0" fontId="4" fillId="0" borderId="0" xfId="1" applyAlignment="1" applyProtection="1">
      <alignment horizontal="center"/>
    </xf>
    <xf numFmtId="0" fontId="4" fillId="2" borderId="0" xfId="1" applyFill="1" applyBorder="1" applyAlignment="1" applyProtection="1">
      <alignment vertical="center"/>
    </xf>
    <xf numFmtId="0" fontId="0" fillId="2" borderId="0" xfId="0" applyFill="1" applyBorder="1">
      <alignment vertical="center"/>
    </xf>
    <xf numFmtId="0" fontId="0" fillId="8" borderId="0" xfId="0" applyFill="1" applyAlignment="1">
      <alignment horizontal="center" vertical="center"/>
    </xf>
    <xf numFmtId="0" fontId="0" fillId="8" borderId="46" xfId="0" applyFill="1" applyBorder="1" applyAlignment="1">
      <alignment horizontal="center" vertical="center"/>
    </xf>
    <xf numFmtId="0" fontId="22" fillId="2" borderId="0" xfId="0" applyFont="1" applyFill="1" applyBorder="1" applyAlignment="1">
      <alignment horizontal="right" vertical="center"/>
    </xf>
  </cellXfs>
  <cellStyles count="2">
    <cellStyle name="ハイパーリンク" xfId="1" builtinId="8"/>
    <cellStyle name="標準" xfId="0" builtinId="0"/>
  </cellStyles>
  <dxfs count="28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14</xdr:row>
      <xdr:rowOff>47625</xdr:rowOff>
    </xdr:from>
    <xdr:to>
      <xdr:col>2</xdr:col>
      <xdr:colOff>576262</xdr:colOff>
      <xdr:row>27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19062" y="2447925"/>
          <a:ext cx="1943100" cy="2181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１９５０年～２１００年に対応しています。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２年分の祝日を表示します。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４月始まり等、年またがりの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カレンダーやスケジュール表</a:t>
          </a:r>
          <a:endParaRPr lang="ja-JP" altLang="ja-JP">
            <a:effectLst/>
          </a:endParaRPr>
        </a:p>
        <a:p>
          <a:pPr rtl="0"/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用にお使いください。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２０１５年４月現在の「国民の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祝日に関する法律」に則って</a:t>
          </a:r>
          <a:endParaRPr kumimoji="0" lang="en-US" altLang="ja-JP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作成しています。</a:t>
          </a:r>
        </a:p>
        <a:p>
          <a:pPr marL="0" marR="0" lvl="0" indent="0" algn="l" defTabSz="914400" rtl="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  <a:p>
          <a:pPr marL="0" marR="0" lvl="0" indent="0" algn="l" defTabSz="914400" rtl="0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1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yawaraka-excel.cocolog-nifty.com/blog/" TargetMode="External"/><Relationship Id="rId1" Type="http://schemas.openxmlformats.org/officeDocument/2006/relationships/hyperlink" Target="http://zangyoukeisan.cocolog-nifty.com/blog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8.cao.go.jp/chosei/shukujitsu/gaiyou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AA12"/>
  <sheetViews>
    <sheetView workbookViewId="0">
      <selection activeCell="B2" sqref="B2"/>
    </sheetView>
  </sheetViews>
  <sheetFormatPr defaultColWidth="9" defaultRowHeight="15" customHeight="1" x14ac:dyDescent="0.15"/>
  <cols>
    <col min="1" max="1" width="2.5" style="1" customWidth="1"/>
    <col min="2" max="2" width="12.875" style="1" bestFit="1" customWidth="1"/>
    <col min="3" max="3" width="18.75" style="1" customWidth="1"/>
    <col min="4" max="4" width="3.75" style="1" customWidth="1"/>
    <col min="5" max="5" width="18.75" style="1" customWidth="1"/>
    <col min="6" max="6" width="9" style="1"/>
    <col min="7" max="7" width="5.5" style="1" hidden="1" customWidth="1"/>
    <col min="8" max="8" width="3.5" style="1" hidden="1" customWidth="1"/>
    <col min="9" max="9" width="2.5" style="1" hidden="1" customWidth="1"/>
    <col min="10" max="10" width="6.5" style="1" hidden="1" customWidth="1"/>
    <col min="11" max="11" width="5.5" style="1" hidden="1" customWidth="1"/>
    <col min="12" max="13" width="2.5" style="1" hidden="1" customWidth="1"/>
    <col min="14" max="14" width="6.5" style="1" hidden="1" customWidth="1"/>
    <col min="15" max="15" width="11.625" style="1" hidden="1" customWidth="1"/>
    <col min="16" max="16" width="9.5" style="1" hidden="1" customWidth="1"/>
    <col min="17" max="17" width="2.25" style="1" hidden="1" customWidth="1"/>
    <col min="18" max="18" width="5.5" style="1" hidden="1" customWidth="1"/>
    <col min="19" max="20" width="2.5" style="1" hidden="1" customWidth="1"/>
    <col min="21" max="21" width="6.5" style="1" hidden="1" customWidth="1"/>
    <col min="22" max="22" width="5.5" style="1" hidden="1" customWidth="1"/>
    <col min="23" max="23" width="3.5" style="1" hidden="1" customWidth="1"/>
    <col min="24" max="24" width="2.5" style="1" hidden="1" customWidth="1"/>
    <col min="25" max="25" width="6.5" style="1" hidden="1" customWidth="1"/>
    <col min="26" max="26" width="11.625" style="1" hidden="1" customWidth="1"/>
    <col min="27" max="27" width="10.5" style="1" hidden="1" customWidth="1"/>
    <col min="28" max="16384" width="9" style="1"/>
  </cols>
  <sheetData>
    <row r="2" spans="2:27" ht="27" customHeight="1" x14ac:dyDescent="0.15">
      <c r="B2" s="41"/>
      <c r="C2" s="40" t="s">
        <v>42</v>
      </c>
    </row>
    <row r="3" spans="2:27" ht="27" customHeight="1" x14ac:dyDescent="0.15">
      <c r="B3" s="51" t="s">
        <v>108</v>
      </c>
      <c r="C3" s="45"/>
    </row>
    <row r="4" spans="2:27" ht="27" customHeight="1" x14ac:dyDescent="0.15">
      <c r="B4" s="51" t="s">
        <v>107</v>
      </c>
      <c r="C4" s="42"/>
    </row>
    <row r="5" spans="2:27" ht="27" customHeight="1" x14ac:dyDescent="0.15">
      <c r="B5" s="51" t="s">
        <v>106</v>
      </c>
      <c r="C5" s="45"/>
    </row>
    <row r="6" spans="2:27" ht="27" customHeight="1" x14ac:dyDescent="0.15">
      <c r="B6" s="51" t="s">
        <v>105</v>
      </c>
      <c r="C6" s="45"/>
      <c r="G6" s="14" t="s">
        <v>41</v>
      </c>
      <c r="H6" s="15"/>
      <c r="I6" s="15"/>
      <c r="J6" s="15"/>
      <c r="K6" s="15"/>
      <c r="L6" s="15"/>
      <c r="M6" s="15"/>
      <c r="N6" s="15"/>
      <c r="O6" s="15"/>
      <c r="P6" s="16"/>
      <c r="R6" s="14" t="s">
        <v>43</v>
      </c>
      <c r="S6" s="15"/>
      <c r="T6" s="15"/>
      <c r="U6" s="15"/>
      <c r="V6" s="15"/>
      <c r="W6" s="15"/>
      <c r="X6" s="15"/>
      <c r="Y6" s="15"/>
      <c r="Z6" s="15"/>
      <c r="AA6" s="16"/>
    </row>
    <row r="7" spans="2:27" ht="27" customHeight="1" x14ac:dyDescent="0.15">
      <c r="B7" s="51" t="s">
        <v>212</v>
      </c>
      <c r="C7" s="45"/>
      <c r="D7" s="73"/>
      <c r="E7" s="73"/>
      <c r="G7" s="17">
        <f ca="1">YEAR(TODAY())-1</f>
        <v>2015</v>
      </c>
      <c r="H7" s="18">
        <v>12</v>
      </c>
      <c r="I7" s="18">
        <v>2</v>
      </c>
      <c r="J7" s="19">
        <f ca="1">DATEVALUE(G7&amp;"/"&amp;H7&amp;"/"&amp;I7)</f>
        <v>42340</v>
      </c>
      <c r="K7" s="18">
        <f ca="1">YEAR(TODAY())</f>
        <v>2016</v>
      </c>
      <c r="L7" s="18">
        <v>6</v>
      </c>
      <c r="M7" s="18">
        <v>1</v>
      </c>
      <c r="N7" s="19">
        <f ca="1">DATEVALUE(K7&amp;"/"&amp;L7&amp;"/"&amp;M7)</f>
        <v>42522</v>
      </c>
      <c r="O7" s="27">
        <f ca="1">IF($C$8&lt;J7,J7,$C$8)</f>
        <v>42562</v>
      </c>
      <c r="P7" s="29">
        <f ca="1">IF($E$8&gt;N7,N7,$E$8)</f>
        <v>42522</v>
      </c>
      <c r="R7" s="17">
        <f ca="1">YEAR(TODAY())</f>
        <v>2016</v>
      </c>
      <c r="S7" s="18">
        <v>6</v>
      </c>
      <c r="T7" s="18">
        <v>2</v>
      </c>
      <c r="U7" s="19">
        <f ca="1">DATEVALUE(R7&amp;"/"&amp;S7&amp;"/"&amp;T7)</f>
        <v>42523</v>
      </c>
      <c r="V7" s="18">
        <f ca="1">YEAR(TODAY())</f>
        <v>2016</v>
      </c>
      <c r="W7" s="18">
        <v>12</v>
      </c>
      <c r="X7" s="18">
        <v>1</v>
      </c>
      <c r="Y7" s="19">
        <f ca="1">DATEVALUE(V7&amp;"/"&amp;W7&amp;"/"&amp;X7)</f>
        <v>42705</v>
      </c>
      <c r="Z7" s="27">
        <f ca="1">IF($C8&lt;U7,U7,$C8)</f>
        <v>42562</v>
      </c>
      <c r="AA7" s="29">
        <f ca="1">IF($E8&gt;Y7,Y7,$E8)</f>
        <v>42570</v>
      </c>
    </row>
    <row r="8" spans="2:27" ht="27" customHeight="1" x14ac:dyDescent="0.15">
      <c r="B8" s="51" t="s">
        <v>21</v>
      </c>
      <c r="C8" s="43">
        <v>42562</v>
      </c>
      <c r="D8" s="39" t="s">
        <v>25</v>
      </c>
      <c r="E8" s="44">
        <v>42570</v>
      </c>
      <c r="G8" s="17">
        <f t="shared" ref="G8:G10" ca="1" si="0">YEAR(TODAY())-1</f>
        <v>2015</v>
      </c>
      <c r="H8" s="18">
        <v>12</v>
      </c>
      <c r="I8" s="18">
        <v>2</v>
      </c>
      <c r="J8" s="19">
        <f t="shared" ref="J8:J9" ca="1" si="1">DATEVALUE(G8&amp;"/"&amp;H8&amp;"/"&amp;I8)</f>
        <v>42340</v>
      </c>
      <c r="K8" s="18">
        <f t="shared" ref="K8:K10" ca="1" si="2">YEAR(TODAY())</f>
        <v>2016</v>
      </c>
      <c r="L8" s="18">
        <v>6</v>
      </c>
      <c r="M8" s="18">
        <v>1</v>
      </c>
      <c r="N8" s="19">
        <f t="shared" ref="N8:N9" ca="1" si="3">DATEVALUE(K8&amp;"/"&amp;L8&amp;"/"&amp;M8)</f>
        <v>42522</v>
      </c>
      <c r="O8" s="27">
        <f ca="1">IF(C9&lt;J8,J8,C9)</f>
        <v>42586</v>
      </c>
      <c r="P8" s="29">
        <f ca="1">IF(E9&gt;N8,N8,E9)</f>
        <v>42522</v>
      </c>
      <c r="R8" s="17">
        <f t="shared" ref="R8:R10" ca="1" si="4">YEAR(TODAY())</f>
        <v>2016</v>
      </c>
      <c r="S8" s="18">
        <v>6</v>
      </c>
      <c r="T8" s="18">
        <v>2</v>
      </c>
      <c r="U8" s="19">
        <f t="shared" ref="U8:U9" ca="1" si="5">DATEVALUE(R8&amp;"/"&amp;S8&amp;"/"&amp;T8)</f>
        <v>42523</v>
      </c>
      <c r="V8" s="18">
        <f t="shared" ref="V8:V10" ca="1" si="6">YEAR(TODAY())</f>
        <v>2016</v>
      </c>
      <c r="W8" s="18">
        <v>12</v>
      </c>
      <c r="X8" s="18">
        <v>1</v>
      </c>
      <c r="Y8" s="19">
        <f t="shared" ref="Y8:Y9" ca="1" si="7">DATEVALUE(V8&amp;"/"&amp;W8&amp;"/"&amp;X8)</f>
        <v>42705</v>
      </c>
      <c r="Z8" s="27">
        <f ca="1">IF($C9&lt;U8,U8,$C9)</f>
        <v>42586</v>
      </c>
      <c r="AA8" s="29">
        <f ca="1">IF($E9&gt;Y8,Y8,$E9)</f>
        <v>42633</v>
      </c>
    </row>
    <row r="9" spans="2:27" ht="27" customHeight="1" x14ac:dyDescent="0.15">
      <c r="B9" s="51" t="s">
        <v>22</v>
      </c>
      <c r="C9" s="43">
        <v>42586</v>
      </c>
      <c r="D9" s="39" t="s">
        <v>25</v>
      </c>
      <c r="E9" s="44">
        <v>42633</v>
      </c>
      <c r="G9" s="20">
        <f t="shared" ca="1" si="0"/>
        <v>2015</v>
      </c>
      <c r="H9" s="21">
        <v>12</v>
      </c>
      <c r="I9" s="21">
        <v>2</v>
      </c>
      <c r="J9" s="22">
        <f t="shared" ca="1" si="1"/>
        <v>42340</v>
      </c>
      <c r="K9" s="21">
        <f t="shared" ca="1" si="2"/>
        <v>2016</v>
      </c>
      <c r="L9" s="21">
        <v>6</v>
      </c>
      <c r="M9" s="21">
        <v>1</v>
      </c>
      <c r="N9" s="22">
        <f t="shared" ca="1" si="3"/>
        <v>42522</v>
      </c>
      <c r="O9" s="28">
        <f ca="1">IF(C10&lt;J9,J9,C10)</f>
        <v>42340</v>
      </c>
      <c r="P9" s="30">
        <f ca="1">IF(E10&gt;N9,N9,E10)</f>
        <v>0</v>
      </c>
      <c r="R9" s="20">
        <f t="shared" ca="1" si="4"/>
        <v>2016</v>
      </c>
      <c r="S9" s="21">
        <v>6</v>
      </c>
      <c r="T9" s="21">
        <v>2</v>
      </c>
      <c r="U9" s="22">
        <f t="shared" ca="1" si="5"/>
        <v>42523</v>
      </c>
      <c r="V9" s="21">
        <f t="shared" ca="1" si="6"/>
        <v>2016</v>
      </c>
      <c r="W9" s="21">
        <v>12</v>
      </c>
      <c r="X9" s="21">
        <v>1</v>
      </c>
      <c r="Y9" s="22">
        <f t="shared" ca="1" si="7"/>
        <v>42705</v>
      </c>
      <c r="Z9" s="28">
        <f ca="1">IF($C10&lt;U9,U9,$C10)</f>
        <v>42523</v>
      </c>
      <c r="AA9" s="30">
        <f ca="1">IF($E10&gt;Y9,Y9,$E10)</f>
        <v>0</v>
      </c>
    </row>
    <row r="10" spans="2:27" ht="27" customHeight="1" x14ac:dyDescent="0.15">
      <c r="B10" s="51" t="s">
        <v>23</v>
      </c>
      <c r="C10" s="43"/>
      <c r="D10" s="39" t="s">
        <v>25</v>
      </c>
      <c r="E10" s="44"/>
      <c r="G10" s="20">
        <f t="shared" ca="1" si="0"/>
        <v>2015</v>
      </c>
      <c r="H10" s="21">
        <v>12</v>
      </c>
      <c r="I10" s="21">
        <v>2</v>
      </c>
      <c r="J10" s="22">
        <f t="shared" ref="J10" ca="1" si="8">DATEVALUE(G10&amp;"/"&amp;H10&amp;"/"&amp;I10)</f>
        <v>42340</v>
      </c>
      <c r="K10" s="21">
        <f t="shared" ca="1" si="2"/>
        <v>2016</v>
      </c>
      <c r="L10" s="21">
        <v>6</v>
      </c>
      <c r="M10" s="21">
        <v>1</v>
      </c>
      <c r="N10" s="22">
        <f t="shared" ref="N10" ca="1" si="9">DATEVALUE(K10&amp;"/"&amp;L10&amp;"/"&amp;M10)</f>
        <v>42522</v>
      </c>
      <c r="O10" s="28">
        <f ca="1">IF(C11&lt;J10,J10,C11)</f>
        <v>42340</v>
      </c>
      <c r="P10" s="30">
        <f ca="1">IF(E11&gt;N10,N10,E11)</f>
        <v>0</v>
      </c>
      <c r="Q10" s="36"/>
      <c r="R10" s="20">
        <f t="shared" ca="1" si="4"/>
        <v>2016</v>
      </c>
      <c r="S10" s="21">
        <v>6</v>
      </c>
      <c r="T10" s="21">
        <v>2</v>
      </c>
      <c r="U10" s="22">
        <f t="shared" ref="U10" ca="1" si="10">DATEVALUE(R10&amp;"/"&amp;S10&amp;"/"&amp;T10)</f>
        <v>42523</v>
      </c>
      <c r="V10" s="21">
        <f t="shared" ca="1" si="6"/>
        <v>2016</v>
      </c>
      <c r="W10" s="21">
        <v>12</v>
      </c>
      <c r="X10" s="21">
        <v>1</v>
      </c>
      <c r="Y10" s="22">
        <f t="shared" ref="Y10" ca="1" si="11">DATEVALUE(V10&amp;"/"&amp;W10&amp;"/"&amp;X10)</f>
        <v>42705</v>
      </c>
      <c r="Z10" s="28">
        <f ca="1">IF($C11&lt;U10,U10,$C11)</f>
        <v>42523</v>
      </c>
      <c r="AA10" s="30">
        <f ca="1">IF($E11&gt;Y10,Y10,$E11)</f>
        <v>0</v>
      </c>
    </row>
    <row r="11" spans="2:27" ht="27" hidden="1" customHeight="1" x14ac:dyDescent="0.15">
      <c r="B11" s="51" t="s">
        <v>24</v>
      </c>
      <c r="C11" s="43"/>
      <c r="D11" s="39" t="s">
        <v>25</v>
      </c>
      <c r="E11" s="44"/>
    </row>
    <row r="12" spans="2:27" ht="27" customHeight="1" x14ac:dyDescent="0.15">
      <c r="B12" s="51" t="s">
        <v>206</v>
      </c>
      <c r="C12" s="208" t="s">
        <v>223</v>
      </c>
      <c r="D12" s="209"/>
      <c r="E12" s="210"/>
    </row>
  </sheetData>
  <sheetProtection sheet="1" objects="1" scenarios="1" selectLockedCells="1"/>
  <mergeCells count="1">
    <mergeCell ref="C12:E12"/>
  </mergeCells>
  <phoneticPr fontId="2"/>
  <dataValidations count="2">
    <dataValidation type="list" allowBlank="1" showInputMessage="1" showErrorMessage="1" sqref="B2">
      <formula1>"6,12"</formula1>
    </dataValidation>
    <dataValidation imeMode="on" allowBlank="1" showInputMessage="1" showErrorMessage="1" sqref="C3:C7 C12"/>
  </dataValidation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"/>
  <sheetViews>
    <sheetView workbookViewId="0">
      <selection activeCell="B5" sqref="B5"/>
    </sheetView>
  </sheetViews>
  <sheetFormatPr defaultRowHeight="13.5" x14ac:dyDescent="0.15"/>
  <cols>
    <col min="2" max="2" width="10.5" bestFit="1" customWidth="1"/>
    <col min="4" max="4" width="4.125" customWidth="1"/>
    <col min="5" max="5" width="12.875" customWidth="1"/>
    <col min="6" max="6" width="14.75" customWidth="1"/>
    <col min="7" max="9" width="5.5" customWidth="1"/>
    <col min="10" max="10" width="4.125" bestFit="1" customWidth="1"/>
    <col min="11" max="11" width="14.375" customWidth="1"/>
    <col min="12" max="13" width="4" customWidth="1"/>
    <col min="14" max="14" width="10.625" customWidth="1"/>
  </cols>
  <sheetData>
    <row r="1" spans="1:23" ht="13.5" customHeight="1" thickBot="1" x14ac:dyDescent="0.2">
      <c r="A1" s="187"/>
      <c r="B1" s="187"/>
      <c r="C1" s="187"/>
      <c r="D1" s="187"/>
      <c r="E1" s="187"/>
      <c r="F1" s="187"/>
      <c r="G1" s="187"/>
      <c r="H1" s="187"/>
    </row>
    <row r="2" spans="1:23" ht="13.5" customHeight="1" x14ac:dyDescent="0.15">
      <c r="A2" s="187"/>
      <c r="B2" s="187"/>
      <c r="C2" s="187"/>
      <c r="D2" s="188" t="s">
        <v>232</v>
      </c>
      <c r="E2" s="189" t="s">
        <v>7</v>
      </c>
      <c r="F2" s="190" t="s">
        <v>233</v>
      </c>
      <c r="G2" s="187"/>
      <c r="H2" s="187"/>
      <c r="J2" s="191" t="s">
        <v>232</v>
      </c>
      <c r="K2" s="192" t="s">
        <v>233</v>
      </c>
      <c r="L2" s="192" t="s">
        <v>234</v>
      </c>
      <c r="M2" s="192" t="s">
        <v>235</v>
      </c>
      <c r="N2" s="192" t="s">
        <v>7</v>
      </c>
    </row>
    <row r="3" spans="1:23" ht="13.5" customHeight="1" x14ac:dyDescent="0.15">
      <c r="A3" s="187"/>
      <c r="B3" s="187"/>
      <c r="C3" s="187"/>
      <c r="D3" s="193">
        <f t="shared" ref="D3:D52" ca="1" si="0">IF(OR(D2="",SUM(D2,1)&gt;MAX($J$3:$J$96)),"",SUM(D2,1))</f>
        <v>1</v>
      </c>
      <c r="E3" s="194">
        <f t="shared" ref="E3:E52" ca="1" si="1">IF(D3="","",VLOOKUP(D3,$J$3:$N$96,5,FALSE))</f>
        <v>42005</v>
      </c>
      <c r="F3" s="195" t="str">
        <f t="shared" ref="F3:F52" ca="1" si="2">IF(D3="","",VLOOKUP(D3,$J$3:$N$96,2,FALSE))</f>
        <v>元日</v>
      </c>
      <c r="G3" s="187"/>
      <c r="H3" s="187"/>
      <c r="I3" s="196">
        <f ca="1">B5</f>
        <v>2015</v>
      </c>
      <c r="J3" s="197">
        <f t="shared" ref="J3:J66" ca="1" si="3">IF(N3="","",RANK(N3,$N$3:$N$96,1))</f>
        <v>1</v>
      </c>
      <c r="K3" s="197" t="s">
        <v>8</v>
      </c>
      <c r="L3" s="197">
        <v>1</v>
      </c>
      <c r="M3" s="197">
        <v>1</v>
      </c>
      <c r="N3" s="198">
        <f ca="1">IF(AND(M3&lt;&gt;"",M3&lt;&gt;"-"),DATE($I$3,L3,M3),"")</f>
        <v>42005</v>
      </c>
      <c r="Q3" s="426" t="s">
        <v>252</v>
      </c>
      <c r="R3" s="426"/>
      <c r="S3" s="206"/>
      <c r="T3" s="207"/>
      <c r="U3" s="207"/>
      <c r="V3" s="207"/>
      <c r="W3" s="207"/>
    </row>
    <row r="4" spans="1:23" ht="13.5" customHeight="1" thickBot="1" x14ac:dyDescent="0.2">
      <c r="A4" s="187"/>
      <c r="B4" s="187"/>
      <c r="C4" s="187"/>
      <c r="D4" s="193">
        <f t="shared" ca="1" si="0"/>
        <v>2</v>
      </c>
      <c r="E4" s="194">
        <f t="shared" ca="1" si="1"/>
        <v>42006</v>
      </c>
      <c r="F4" s="195" t="str">
        <f t="shared" ca="1" si="2"/>
        <v>年始休み</v>
      </c>
      <c r="G4" s="187"/>
      <c r="H4" s="187"/>
      <c r="I4" s="74"/>
      <c r="J4" s="197" t="str">
        <f t="shared" ca="1" si="3"/>
        <v/>
      </c>
      <c r="K4" s="197" t="s">
        <v>236</v>
      </c>
      <c r="L4" s="197">
        <f>L3</f>
        <v>1</v>
      </c>
      <c r="M4" s="199" t="str">
        <f ca="1">IF(M3="-","-",IF(AND(I3&gt;1973,WEEKDAY(DATE(I3,L3,M3))=1),M3+1,"-"))</f>
        <v>-</v>
      </c>
      <c r="N4" s="198" t="str">
        <f t="shared" ref="N4:N49" ca="1" si="4">IF(AND(M4&lt;&gt;"",M4&lt;&gt;"-"),DATE($I$3,L4,M4),"")</f>
        <v/>
      </c>
      <c r="Q4" s="426"/>
      <c r="R4" s="426"/>
      <c r="S4" s="207"/>
      <c r="T4" s="207"/>
      <c r="U4" s="207"/>
      <c r="V4" s="207"/>
      <c r="W4" s="207"/>
    </row>
    <row r="5" spans="1:23" ht="13.5" customHeight="1" thickBot="1" x14ac:dyDescent="0.2">
      <c r="A5" s="187"/>
      <c r="B5" s="200">
        <f ca="1">YEAR(TODAY())-1</f>
        <v>2015</v>
      </c>
      <c r="C5" s="187" t="s">
        <v>237</v>
      </c>
      <c r="D5" s="193">
        <f t="shared" ca="1" si="0"/>
        <v>3</v>
      </c>
      <c r="E5" s="194">
        <f t="shared" ca="1" si="1"/>
        <v>42007</v>
      </c>
      <c r="F5" s="195" t="str">
        <f t="shared" ca="1" si="2"/>
        <v>年始休み</v>
      </c>
      <c r="G5" s="187"/>
      <c r="H5" s="187"/>
      <c r="I5" s="74"/>
      <c r="J5" s="197">
        <f t="shared" ca="1" si="3"/>
        <v>4</v>
      </c>
      <c r="K5" s="197" t="s">
        <v>9</v>
      </c>
      <c r="L5" s="197">
        <v>1</v>
      </c>
      <c r="M5" s="197">
        <f ca="1">IF(I3&lt;2000,15,DAY(CEILING(DATE(I3,L5,6),7)+2))</f>
        <v>12</v>
      </c>
      <c r="N5" s="198">
        <f t="shared" ca="1" si="4"/>
        <v>42016</v>
      </c>
      <c r="Q5" s="207"/>
      <c r="R5" s="423" t="s">
        <v>253</v>
      </c>
      <c r="S5" s="423"/>
      <c r="T5" s="423"/>
      <c r="U5" s="423"/>
      <c r="V5" s="423"/>
      <c r="W5" s="423"/>
    </row>
    <row r="6" spans="1:23" ht="13.5" customHeight="1" x14ac:dyDescent="0.15">
      <c r="A6" s="187"/>
      <c r="B6" s="187"/>
      <c r="C6" s="187"/>
      <c r="D6" s="193">
        <f t="shared" ca="1" si="0"/>
        <v>4</v>
      </c>
      <c r="E6" s="194">
        <f t="shared" ca="1" si="1"/>
        <v>42016</v>
      </c>
      <c r="F6" s="195" t="str">
        <f t="shared" ca="1" si="2"/>
        <v>成人の日</v>
      </c>
      <c r="G6" s="187"/>
      <c r="H6" s="187"/>
      <c r="I6" s="74"/>
      <c r="J6" s="197" t="str">
        <f t="shared" ca="1" si="3"/>
        <v/>
      </c>
      <c r="K6" s="197" t="s">
        <v>238</v>
      </c>
      <c r="L6" s="197">
        <f>L5</f>
        <v>1</v>
      </c>
      <c r="M6" s="199" t="str">
        <f ca="1">IF(M5="-","-",IF(AND(I3&gt;1973,WEEKDAY(DATE(I3,L5,M5))=1),M5+1,"-"))</f>
        <v>-</v>
      </c>
      <c r="N6" s="198" t="str">
        <f t="shared" ca="1" si="4"/>
        <v/>
      </c>
      <c r="Q6" s="207"/>
      <c r="R6" s="422" t="s">
        <v>254</v>
      </c>
      <c r="S6" s="422"/>
      <c r="T6" s="422"/>
      <c r="U6" s="422"/>
      <c r="V6" s="422"/>
      <c r="W6" s="422"/>
    </row>
    <row r="7" spans="1:23" ht="13.5" customHeight="1" x14ac:dyDescent="0.15">
      <c r="A7" s="424" t="s">
        <v>239</v>
      </c>
      <c r="B7" s="424"/>
      <c r="C7" s="425"/>
      <c r="D7" s="193">
        <f t="shared" ca="1" si="0"/>
        <v>5</v>
      </c>
      <c r="E7" s="194">
        <f t="shared" ca="1" si="1"/>
        <v>42046</v>
      </c>
      <c r="F7" s="195" t="str">
        <f t="shared" ca="1" si="2"/>
        <v>建国記念の日</v>
      </c>
      <c r="G7" s="187"/>
      <c r="H7" s="187"/>
      <c r="I7" s="74"/>
      <c r="J7" s="197">
        <f t="shared" ca="1" si="3"/>
        <v>5</v>
      </c>
      <c r="K7" s="197" t="s">
        <v>10</v>
      </c>
      <c r="L7" s="197">
        <v>2</v>
      </c>
      <c r="M7" s="199">
        <f ca="1">IF(I3&gt;1966,11,"-")</f>
        <v>11</v>
      </c>
      <c r="N7" s="198">
        <f t="shared" ca="1" si="4"/>
        <v>42046</v>
      </c>
      <c r="Q7" s="207"/>
      <c r="R7" s="423"/>
      <c r="S7" s="423"/>
      <c r="T7" s="423"/>
      <c r="U7" s="423"/>
      <c r="V7" s="423"/>
      <c r="W7" s="423"/>
    </row>
    <row r="8" spans="1:23" ht="13.5" customHeight="1" thickBot="1" x14ac:dyDescent="0.2">
      <c r="A8" s="424"/>
      <c r="B8" s="424"/>
      <c r="C8" s="425"/>
      <c r="D8" s="193">
        <f t="shared" ca="1" si="0"/>
        <v>6</v>
      </c>
      <c r="E8" s="194">
        <f t="shared" ca="1" si="1"/>
        <v>42084</v>
      </c>
      <c r="F8" s="195" t="str">
        <f t="shared" ca="1" si="2"/>
        <v>春分の日</v>
      </c>
      <c r="G8" s="187"/>
      <c r="H8" s="187"/>
      <c r="I8" s="74"/>
      <c r="J8" s="197" t="str">
        <f t="shared" ca="1" si="3"/>
        <v/>
      </c>
      <c r="K8" s="197" t="s">
        <v>236</v>
      </c>
      <c r="L8" s="197">
        <f>L7</f>
        <v>2</v>
      </c>
      <c r="M8" s="199" t="str">
        <f ca="1">IF(M7="-","-",IF(AND(I3&gt;1973,WEEKDAY(DATE(I3,L7,M7))=1),M7+1,"-"))</f>
        <v>-</v>
      </c>
      <c r="N8" s="198" t="str">
        <f t="shared" ca="1" si="4"/>
        <v/>
      </c>
      <c r="Q8" s="207"/>
      <c r="R8" s="423" t="s">
        <v>255</v>
      </c>
      <c r="S8" s="423"/>
      <c r="T8" s="423"/>
      <c r="U8" s="423"/>
      <c r="V8" s="423"/>
      <c r="W8" s="423"/>
    </row>
    <row r="9" spans="1:23" ht="13.5" customHeight="1" thickBot="1" x14ac:dyDescent="0.2">
      <c r="A9" s="187"/>
      <c r="B9" s="201" t="s">
        <v>240</v>
      </c>
      <c r="C9" s="202">
        <f>MATCH(B9,B10:B13,0)</f>
        <v>2</v>
      </c>
      <c r="D9" s="193">
        <f t="shared" ca="1" si="0"/>
        <v>7</v>
      </c>
      <c r="E9" s="194">
        <f t="shared" ca="1" si="1"/>
        <v>42123</v>
      </c>
      <c r="F9" s="195" t="str">
        <f t="shared" ca="1" si="2"/>
        <v>昭和の日</v>
      </c>
      <c r="G9" s="187"/>
      <c r="H9" s="187"/>
      <c r="I9" s="74"/>
      <c r="J9" s="197">
        <f t="shared" ca="1" si="3"/>
        <v>6</v>
      </c>
      <c r="K9" s="197" t="s">
        <v>11</v>
      </c>
      <c r="L9" s="197">
        <v>3</v>
      </c>
      <c r="M9" s="197">
        <f ca="1">INT(IF(I3&lt;1900,19.8277,IF(I3&lt;1980,20.8357,IF(I3&lt;2100,20.8431,21.851)))+0.242194*(I3-1980)-ROUNDDOWN((I3-IF(I3&lt;1980,1983,1980))/4,0))</f>
        <v>21</v>
      </c>
      <c r="N9" s="198">
        <f t="shared" ca="1" si="4"/>
        <v>42084</v>
      </c>
      <c r="Q9" s="207"/>
      <c r="R9" s="422" t="s">
        <v>256</v>
      </c>
      <c r="S9" s="422"/>
      <c r="T9" s="422"/>
      <c r="U9" s="422"/>
      <c r="V9" s="422"/>
      <c r="W9" s="422"/>
    </row>
    <row r="10" spans="1:23" ht="13.5" customHeight="1" x14ac:dyDescent="0.15">
      <c r="A10" s="187"/>
      <c r="B10" s="203" t="s">
        <v>241</v>
      </c>
      <c r="C10" s="187"/>
      <c r="D10" s="193">
        <f t="shared" ca="1" si="0"/>
        <v>8</v>
      </c>
      <c r="E10" s="194">
        <f t="shared" ca="1" si="1"/>
        <v>42127</v>
      </c>
      <c r="F10" s="195" t="str">
        <f t="shared" ca="1" si="2"/>
        <v>憲法記念日</v>
      </c>
      <c r="G10" s="187"/>
      <c r="H10" s="187"/>
      <c r="I10" s="74"/>
      <c r="J10" s="197" t="str">
        <f t="shared" ca="1" si="3"/>
        <v/>
      </c>
      <c r="K10" s="197" t="s">
        <v>242</v>
      </c>
      <c r="L10" s="197">
        <f>L9</f>
        <v>3</v>
      </c>
      <c r="M10" s="199" t="str">
        <f ca="1">IF(M9="-","-",IF(AND(I3&gt;1973,WEEKDAY(DATE(I3,L9,M9))=1),M9+1,"-"))</f>
        <v>-</v>
      </c>
      <c r="N10" s="198" t="str">
        <f t="shared" ca="1" si="4"/>
        <v/>
      </c>
      <c r="Q10" s="207"/>
      <c r="R10" s="423"/>
      <c r="S10" s="423"/>
      <c r="T10" s="423"/>
      <c r="U10" s="423"/>
      <c r="V10" s="423"/>
      <c r="W10" s="423"/>
    </row>
    <row r="11" spans="1:23" ht="13.5" customHeight="1" x14ac:dyDescent="0.15">
      <c r="A11" s="187"/>
      <c r="B11" s="203" t="s">
        <v>243</v>
      </c>
      <c r="C11" s="187"/>
      <c r="D11" s="193">
        <f t="shared" ca="1" si="0"/>
        <v>9</v>
      </c>
      <c r="E11" s="194">
        <f t="shared" ca="1" si="1"/>
        <v>42128</v>
      </c>
      <c r="F11" s="195" t="str">
        <f t="shared" ca="1" si="2"/>
        <v>みどりの日</v>
      </c>
      <c r="G11" s="187"/>
      <c r="H11" s="187"/>
      <c r="I11" s="74"/>
      <c r="J11" s="197">
        <f t="shared" ca="1" si="3"/>
        <v>7</v>
      </c>
      <c r="K11" s="197" t="str">
        <f ca="1">IF(I3&gt;2006,"昭和の日",IF(I3&gt;1988,"みどりの日","天皇誕生日"))</f>
        <v>昭和の日</v>
      </c>
      <c r="L11" s="197">
        <v>4</v>
      </c>
      <c r="M11" s="197">
        <v>29</v>
      </c>
      <c r="N11" s="198">
        <f t="shared" ca="1" si="4"/>
        <v>42123</v>
      </c>
      <c r="Q11" s="207"/>
      <c r="R11" s="207"/>
      <c r="S11" s="207"/>
      <c r="T11" s="207"/>
      <c r="U11" s="207"/>
      <c r="V11" s="207"/>
      <c r="W11" s="207"/>
    </row>
    <row r="12" spans="1:23" ht="13.5" customHeight="1" x14ac:dyDescent="0.15">
      <c r="A12" s="187"/>
      <c r="B12" s="203" t="s">
        <v>244</v>
      </c>
      <c r="C12" s="187"/>
      <c r="D12" s="193">
        <f t="shared" ca="1" si="0"/>
        <v>10</v>
      </c>
      <c r="E12" s="194">
        <f t="shared" ca="1" si="1"/>
        <v>42129</v>
      </c>
      <c r="F12" s="195" t="str">
        <f t="shared" ca="1" si="2"/>
        <v>こどもの日</v>
      </c>
      <c r="G12" s="187"/>
      <c r="H12" s="187"/>
      <c r="I12" s="74"/>
      <c r="J12" s="197" t="str">
        <f t="shared" ca="1" si="3"/>
        <v/>
      </c>
      <c r="K12" s="197" t="s">
        <v>245</v>
      </c>
      <c r="L12" s="197">
        <f>L11</f>
        <v>4</v>
      </c>
      <c r="M12" s="199" t="str">
        <f ca="1">IF(M11="-","-",IF(AND(I3&gt;1972,WEEKDAY(DATE(I3,L11,M11))=1),M11+1,"-"))</f>
        <v>-</v>
      </c>
      <c r="N12" s="198" t="str">
        <f t="shared" ca="1" si="4"/>
        <v/>
      </c>
    </row>
    <row r="13" spans="1:23" ht="13.5" customHeight="1" x14ac:dyDescent="0.15">
      <c r="A13" s="187"/>
      <c r="B13" s="187"/>
      <c r="C13" s="187"/>
      <c r="D13" s="193">
        <f t="shared" ca="1" si="0"/>
        <v>11</v>
      </c>
      <c r="E13" s="194">
        <f t="shared" ca="1" si="1"/>
        <v>42130</v>
      </c>
      <c r="F13" s="195" t="str">
        <f t="shared" ca="1" si="2"/>
        <v>振替休日</v>
      </c>
      <c r="G13" s="187"/>
      <c r="H13" s="187"/>
      <c r="I13" s="74"/>
      <c r="J13" s="197">
        <f t="shared" ca="1" si="3"/>
        <v>8</v>
      </c>
      <c r="K13" s="197" t="s">
        <v>12</v>
      </c>
      <c r="L13" s="197">
        <v>5</v>
      </c>
      <c r="M13" s="197">
        <v>3</v>
      </c>
      <c r="N13" s="198">
        <f t="shared" ca="1" si="4"/>
        <v>42127</v>
      </c>
    </row>
    <row r="14" spans="1:23" ht="13.5" customHeight="1" x14ac:dyDescent="0.15">
      <c r="A14" s="187"/>
      <c r="B14" s="187"/>
      <c r="C14" s="187"/>
      <c r="D14" s="193">
        <f t="shared" ca="1" si="0"/>
        <v>12</v>
      </c>
      <c r="E14" s="194">
        <f t="shared" ca="1" si="1"/>
        <v>42205</v>
      </c>
      <c r="F14" s="195" t="str">
        <f t="shared" ca="1" si="2"/>
        <v>海の日</v>
      </c>
      <c r="G14" s="187"/>
      <c r="H14" s="187"/>
      <c r="I14" s="74"/>
      <c r="J14" s="197" t="str">
        <f t="shared" ca="1" si="3"/>
        <v/>
      </c>
      <c r="K14" s="197" t="s">
        <v>245</v>
      </c>
      <c r="L14" s="197">
        <f>L13</f>
        <v>5</v>
      </c>
      <c r="M14" s="199" t="str">
        <f ca="1">IF(M13="-","-",IF(AND(I3&gt;1972,I3&lt;2007,WEEKDAY(DATE(I3,L13,M13))=1),M13+1,"-"))</f>
        <v>-</v>
      </c>
      <c r="N14" s="198" t="str">
        <f t="shared" ca="1" si="4"/>
        <v/>
      </c>
    </row>
    <row r="15" spans="1:23" ht="13.5" customHeight="1" x14ac:dyDescent="0.15">
      <c r="A15" s="187"/>
      <c r="B15" s="187"/>
      <c r="C15" s="187"/>
      <c r="D15" s="193">
        <f t="shared" ca="1" si="0"/>
        <v>13</v>
      </c>
      <c r="E15" s="194">
        <f t="shared" ca="1" si="1"/>
        <v>42268</v>
      </c>
      <c r="F15" s="195" t="str">
        <f t="shared" ca="1" si="2"/>
        <v>敬老の日</v>
      </c>
      <c r="G15" s="187"/>
      <c r="H15" s="187"/>
      <c r="I15" s="74"/>
      <c r="J15" s="197">
        <f t="shared" ca="1" si="3"/>
        <v>9</v>
      </c>
      <c r="K15" s="197" t="str">
        <f ca="1">IF(I3&gt;2006,"みどりの日",IF(M15=4,"国民の休日",""))</f>
        <v>みどりの日</v>
      </c>
      <c r="L15" s="197">
        <v>5</v>
      </c>
      <c r="M15" s="199">
        <f ca="1">IF(OR(I3&gt;2006,AND(I3&gt;1987,WEEKDAY(DATE(I3,5,4))&lt;&gt;1,WEEKDAY(DATE(I3,5,4))&lt;&gt;2)),4,"-")</f>
        <v>4</v>
      </c>
      <c r="N15" s="198">
        <f t="shared" ca="1" si="4"/>
        <v>42128</v>
      </c>
    </row>
    <row r="16" spans="1:23" ht="13.5" customHeight="1" x14ac:dyDescent="0.15">
      <c r="A16" s="187"/>
      <c r="B16" s="187"/>
      <c r="C16" s="187"/>
      <c r="D16" s="193">
        <f t="shared" ca="1" si="0"/>
        <v>14</v>
      </c>
      <c r="E16" s="194">
        <f t="shared" ca="1" si="1"/>
        <v>42269</v>
      </c>
      <c r="F16" s="195" t="str">
        <f t="shared" ca="1" si="2"/>
        <v>国民の休日</v>
      </c>
      <c r="G16" s="187"/>
      <c r="H16" s="187"/>
      <c r="I16" s="74"/>
      <c r="J16" s="197">
        <f t="shared" ca="1" si="3"/>
        <v>10</v>
      </c>
      <c r="K16" s="197" t="s">
        <v>20</v>
      </c>
      <c r="L16" s="197">
        <v>5</v>
      </c>
      <c r="M16" s="197">
        <v>5</v>
      </c>
      <c r="N16" s="198">
        <f t="shared" ca="1" si="4"/>
        <v>42129</v>
      </c>
    </row>
    <row r="17" spans="1:14" ht="13.5" customHeight="1" x14ac:dyDescent="0.15">
      <c r="A17" s="187"/>
      <c r="B17" s="187"/>
      <c r="C17" s="187"/>
      <c r="D17" s="193">
        <f t="shared" ca="1" si="0"/>
        <v>15</v>
      </c>
      <c r="E17" s="194">
        <f t="shared" ca="1" si="1"/>
        <v>42270</v>
      </c>
      <c r="F17" s="195" t="str">
        <f t="shared" ca="1" si="2"/>
        <v>秋分の日</v>
      </c>
      <c r="G17" s="187"/>
      <c r="H17" s="187"/>
      <c r="I17" s="74"/>
      <c r="J17" s="197">
        <f t="shared" ca="1" si="3"/>
        <v>11</v>
      </c>
      <c r="K17" s="197" t="s">
        <v>245</v>
      </c>
      <c r="L17" s="197">
        <f>L16</f>
        <v>5</v>
      </c>
      <c r="M17" s="199">
        <f ca="1">IF(M16="-","-",IF(OR(AND(I3&gt;2006,WEEKDAY(DATE(I3,L16,M16))&lt;4),AND(I3&gt;1972,WEEKDAY(DATE(I3,L16,M16))=1)),M16+1,"-"))</f>
        <v>6</v>
      </c>
      <c r="N17" s="198">
        <f t="shared" ca="1" si="4"/>
        <v>42130</v>
      </c>
    </row>
    <row r="18" spans="1:14" ht="13.5" customHeight="1" x14ac:dyDescent="0.15">
      <c r="A18" s="187"/>
      <c r="B18" s="187"/>
      <c r="C18" s="187"/>
      <c r="D18" s="193">
        <f t="shared" ca="1" si="0"/>
        <v>16</v>
      </c>
      <c r="E18" s="194">
        <f t="shared" ca="1" si="1"/>
        <v>42289</v>
      </c>
      <c r="F18" s="195" t="str">
        <f t="shared" ca="1" si="2"/>
        <v>体育の日</v>
      </c>
      <c r="G18" s="187"/>
      <c r="H18" s="187"/>
      <c r="I18" s="74"/>
      <c r="J18" s="197">
        <f t="shared" ca="1" si="3"/>
        <v>12</v>
      </c>
      <c r="K18" s="197" t="s">
        <v>13</v>
      </c>
      <c r="L18" s="197">
        <v>7</v>
      </c>
      <c r="M18" s="199">
        <f ca="1">IF(I3&lt;1996,"-",IF(I3&lt;2003,20,DAY(CEILING(DATE(I3,L18,6),7)+9)))</f>
        <v>20</v>
      </c>
      <c r="N18" s="198">
        <f t="shared" ca="1" si="4"/>
        <v>42205</v>
      </c>
    </row>
    <row r="19" spans="1:14" ht="13.5" customHeight="1" x14ac:dyDescent="0.15">
      <c r="A19" s="187"/>
      <c r="B19" s="187"/>
      <c r="C19" s="187"/>
      <c r="D19" s="193">
        <f t="shared" ca="1" si="0"/>
        <v>17</v>
      </c>
      <c r="E19" s="194">
        <f t="shared" ca="1" si="1"/>
        <v>42311</v>
      </c>
      <c r="F19" s="195" t="str">
        <f t="shared" ca="1" si="2"/>
        <v>文化の日</v>
      </c>
      <c r="G19" s="187"/>
      <c r="H19" s="187"/>
      <c r="I19" s="74"/>
      <c r="J19" s="197" t="str">
        <f t="shared" ca="1" si="3"/>
        <v/>
      </c>
      <c r="K19" s="197" t="s">
        <v>245</v>
      </c>
      <c r="L19" s="197">
        <f>L18</f>
        <v>7</v>
      </c>
      <c r="M19" s="199" t="str">
        <f ca="1">IF(M18="-","-",IF(AND(I3&gt;1972,WEEKDAY(DATE(I3,L18,M18))=1),M18+1,"-"))</f>
        <v>-</v>
      </c>
      <c r="N19" s="198" t="str">
        <f t="shared" ca="1" si="4"/>
        <v/>
      </c>
    </row>
    <row r="20" spans="1:14" ht="13.5" customHeight="1" x14ac:dyDescent="0.15">
      <c r="A20" s="187"/>
      <c r="B20" s="187"/>
      <c r="C20" s="187"/>
      <c r="D20" s="193">
        <f t="shared" ca="1" si="0"/>
        <v>18</v>
      </c>
      <c r="E20" s="194">
        <f t="shared" ca="1" si="1"/>
        <v>42331</v>
      </c>
      <c r="F20" s="195" t="str">
        <f t="shared" ca="1" si="2"/>
        <v>勤労感謝の日</v>
      </c>
      <c r="G20" s="187"/>
      <c r="H20" s="187"/>
      <c r="I20" s="74"/>
      <c r="J20" s="197" t="str">
        <f t="shared" ca="1" si="3"/>
        <v/>
      </c>
      <c r="K20" s="197" t="s">
        <v>246</v>
      </c>
      <c r="L20" s="197">
        <v>8</v>
      </c>
      <c r="M20" s="199" t="str">
        <f ca="1">IF(I3&gt;2015,11,"-")</f>
        <v>-</v>
      </c>
      <c r="N20" s="198" t="str">
        <f ca="1">IF(AND(M20&lt;&gt;"",M20&lt;&gt;"-"),DATE($I$3,L20,M20),"")</f>
        <v/>
      </c>
    </row>
    <row r="21" spans="1:14" ht="13.5" customHeight="1" x14ac:dyDescent="0.15">
      <c r="A21" s="187"/>
      <c r="B21" s="187"/>
      <c r="C21" s="187"/>
      <c r="D21" s="193">
        <f t="shared" ca="1" si="0"/>
        <v>19</v>
      </c>
      <c r="E21" s="194">
        <f t="shared" ca="1" si="1"/>
        <v>42361</v>
      </c>
      <c r="F21" s="195" t="str">
        <f t="shared" ca="1" si="2"/>
        <v>天皇誕生日</v>
      </c>
      <c r="G21" s="187"/>
      <c r="H21" s="187"/>
      <c r="I21" s="74"/>
      <c r="J21" s="197" t="str">
        <f t="shared" ca="1" si="3"/>
        <v/>
      </c>
      <c r="K21" s="197" t="s">
        <v>245</v>
      </c>
      <c r="L21" s="197">
        <f>L20</f>
        <v>8</v>
      </c>
      <c r="M21" s="199" t="str">
        <f ca="1">IF(M20="-","-",IF(AND(I3&gt;1972,WEEKDAY(DATE(I3,L20,M20))=1),M20+1,"-"))</f>
        <v>-</v>
      </c>
      <c r="N21" s="198" t="str">
        <f ca="1">IF(AND(M21&lt;&gt;"",M21&lt;&gt;"-"),DATE($I$3,L21,M21),"")</f>
        <v/>
      </c>
    </row>
    <row r="22" spans="1:14" ht="13.5" customHeight="1" x14ac:dyDescent="0.15">
      <c r="A22" s="187"/>
      <c r="B22" s="187"/>
      <c r="C22" s="187"/>
      <c r="D22" s="193">
        <f t="shared" ca="1" si="0"/>
        <v>20</v>
      </c>
      <c r="E22" s="194">
        <f t="shared" ca="1" si="1"/>
        <v>42367</v>
      </c>
      <c r="F22" s="195" t="str">
        <f t="shared" ca="1" si="2"/>
        <v>年末休み</v>
      </c>
      <c r="G22" s="187"/>
      <c r="H22" s="187"/>
      <c r="I22" s="74"/>
      <c r="J22" s="197">
        <f t="shared" ca="1" si="3"/>
        <v>13</v>
      </c>
      <c r="K22" s="197" t="s">
        <v>14</v>
      </c>
      <c r="L22" s="197">
        <v>9</v>
      </c>
      <c r="M22" s="199">
        <f ca="1">IF(I3&lt;1966,"-",IF(I3&lt;2003,15,DAY(CEILING(DATE(I3,L22,6),7)+9)))</f>
        <v>21</v>
      </c>
      <c r="N22" s="198">
        <f t="shared" ca="1" si="4"/>
        <v>42268</v>
      </c>
    </row>
    <row r="23" spans="1:14" ht="13.5" customHeight="1" x14ac:dyDescent="0.15">
      <c r="A23" s="187"/>
      <c r="B23" s="187"/>
      <c r="C23" s="187"/>
      <c r="D23" s="193">
        <f t="shared" ca="1" si="0"/>
        <v>21</v>
      </c>
      <c r="E23" s="194">
        <f t="shared" ca="1" si="1"/>
        <v>42368</v>
      </c>
      <c r="F23" s="195" t="str">
        <f t="shared" ca="1" si="2"/>
        <v>年末休み</v>
      </c>
      <c r="G23" s="187"/>
      <c r="H23" s="187"/>
      <c r="I23" s="74"/>
      <c r="J23" s="197" t="str">
        <f t="shared" ca="1" si="3"/>
        <v/>
      </c>
      <c r="K23" s="197" t="s">
        <v>245</v>
      </c>
      <c r="L23" s="197">
        <f>L22</f>
        <v>9</v>
      </c>
      <c r="M23" s="199" t="str">
        <f ca="1">IF(M22="-","-",IF(AND(I3&gt;1972,WEEKDAY(DATE(I3,L22,M22))=1),M22+1,"-"))</f>
        <v>-</v>
      </c>
      <c r="N23" s="198" t="str">
        <f t="shared" ca="1" si="4"/>
        <v/>
      </c>
    </row>
    <row r="24" spans="1:14" ht="13.5" customHeight="1" x14ac:dyDescent="0.15">
      <c r="A24" s="187"/>
      <c r="B24" s="187"/>
      <c r="C24" s="187"/>
      <c r="D24" s="193">
        <f t="shared" ca="1" si="0"/>
        <v>22</v>
      </c>
      <c r="E24" s="194">
        <f t="shared" ca="1" si="1"/>
        <v>42369</v>
      </c>
      <c r="F24" s="195" t="str">
        <f t="shared" ca="1" si="2"/>
        <v>年末休み</v>
      </c>
      <c r="G24" s="187"/>
      <c r="H24" s="187"/>
      <c r="I24" s="74"/>
      <c r="J24" s="197">
        <f t="shared" ca="1" si="3"/>
        <v>14</v>
      </c>
      <c r="K24" s="197" t="s">
        <v>247</v>
      </c>
      <c r="L24" s="197">
        <f>L23</f>
        <v>9</v>
      </c>
      <c r="M24" s="199">
        <f ca="1">IF(I3&gt;2002,IF(M25-M22=2,M22+1,"-"),"-")</f>
        <v>22</v>
      </c>
      <c r="N24" s="198">
        <f t="shared" ca="1" si="4"/>
        <v>42269</v>
      </c>
    </row>
    <row r="25" spans="1:14" ht="13.5" customHeight="1" x14ac:dyDescent="0.15">
      <c r="A25" s="187"/>
      <c r="B25" s="187"/>
      <c r="C25" s="187"/>
      <c r="D25" s="193">
        <f t="shared" ca="1" si="0"/>
        <v>23</v>
      </c>
      <c r="E25" s="194">
        <f t="shared" ca="1" si="1"/>
        <v>42370</v>
      </c>
      <c r="F25" s="195" t="str">
        <f t="shared" ca="1" si="2"/>
        <v>元日</v>
      </c>
      <c r="G25" s="187"/>
      <c r="H25" s="187"/>
      <c r="I25" s="74"/>
      <c r="J25" s="197">
        <f t="shared" ca="1" si="3"/>
        <v>15</v>
      </c>
      <c r="K25" s="197" t="s">
        <v>15</v>
      </c>
      <c r="L25" s="197">
        <v>9</v>
      </c>
      <c r="M25" s="197">
        <f ca="1">INT(IF(I3&lt;1900,22.2588,IF(I3&lt;1980,23.2588,IF(I3&lt;2100,23.2488,24.2488)))+0.242194*(I3-1980)-ROUNDDOWN((I3-IF(I3&lt;1980,1983,1980))/4,0))</f>
        <v>23</v>
      </c>
      <c r="N25" s="198">
        <f t="shared" ca="1" si="4"/>
        <v>42270</v>
      </c>
    </row>
    <row r="26" spans="1:14" ht="13.5" customHeight="1" x14ac:dyDescent="0.15">
      <c r="A26" s="187"/>
      <c r="B26" s="187"/>
      <c r="C26" s="187"/>
      <c r="D26" s="193">
        <f t="shared" ca="1" si="0"/>
        <v>24</v>
      </c>
      <c r="E26" s="194">
        <f t="shared" ca="1" si="1"/>
        <v>42371</v>
      </c>
      <c r="F26" s="195" t="str">
        <f t="shared" ca="1" si="2"/>
        <v>年始休み</v>
      </c>
      <c r="G26" s="187"/>
      <c r="H26" s="187"/>
      <c r="I26" s="74"/>
      <c r="J26" s="197" t="str">
        <f t="shared" ca="1" si="3"/>
        <v/>
      </c>
      <c r="K26" s="197" t="s">
        <v>245</v>
      </c>
      <c r="L26" s="197">
        <f>L25</f>
        <v>9</v>
      </c>
      <c r="M26" s="199" t="str">
        <f ca="1">IF(M25="-","-",IF(AND(I3&gt;1972,WEEKDAY(DATE(I3,L25,M25))=1),M25+1,"-"))</f>
        <v>-</v>
      </c>
      <c r="N26" s="198" t="str">
        <f t="shared" ca="1" si="4"/>
        <v/>
      </c>
    </row>
    <row r="27" spans="1:14" ht="13.5" customHeight="1" x14ac:dyDescent="0.15">
      <c r="A27" s="187"/>
      <c r="B27" s="187"/>
      <c r="C27" s="187"/>
      <c r="D27" s="193">
        <f t="shared" ca="1" si="0"/>
        <v>25</v>
      </c>
      <c r="E27" s="194">
        <f t="shared" ca="1" si="1"/>
        <v>42372</v>
      </c>
      <c r="F27" s="195" t="str">
        <f t="shared" ca="1" si="2"/>
        <v>年始休み</v>
      </c>
      <c r="G27" s="187"/>
      <c r="H27" s="187"/>
      <c r="I27" s="74"/>
      <c r="J27" s="197">
        <f t="shared" ca="1" si="3"/>
        <v>16</v>
      </c>
      <c r="K27" s="197" t="s">
        <v>16</v>
      </c>
      <c r="L27" s="197">
        <v>10</v>
      </c>
      <c r="M27" s="199">
        <f ca="1">IF(I3&lt;1966,"-",IF(I3&lt;2000,10,DAY(CEILING(DATE(I3,L27,6),7)+2)))</f>
        <v>12</v>
      </c>
      <c r="N27" s="198">
        <f t="shared" ca="1" si="4"/>
        <v>42289</v>
      </c>
    </row>
    <row r="28" spans="1:14" ht="13.5" customHeight="1" x14ac:dyDescent="0.15">
      <c r="A28" s="187"/>
      <c r="B28" s="187"/>
      <c r="C28" s="187"/>
      <c r="D28" s="193">
        <f t="shared" ca="1" si="0"/>
        <v>26</v>
      </c>
      <c r="E28" s="194">
        <f t="shared" ca="1" si="1"/>
        <v>42380</v>
      </c>
      <c r="F28" s="195" t="str">
        <f t="shared" ca="1" si="2"/>
        <v>成人の日</v>
      </c>
      <c r="G28" s="187"/>
      <c r="H28" s="187"/>
      <c r="I28" s="74"/>
      <c r="J28" s="197" t="str">
        <f t="shared" ca="1" si="3"/>
        <v/>
      </c>
      <c r="K28" s="197" t="s">
        <v>245</v>
      </c>
      <c r="L28" s="197">
        <f>L27</f>
        <v>10</v>
      </c>
      <c r="M28" s="199" t="str">
        <f ca="1">IF(M27="-","-",IF(AND(I3&gt;1972,WEEKDAY(DATE(I3,L27,M27))=1),M27+1,"-"))</f>
        <v>-</v>
      </c>
      <c r="N28" s="198" t="str">
        <f t="shared" ca="1" si="4"/>
        <v/>
      </c>
    </row>
    <row r="29" spans="1:14" ht="13.5" customHeight="1" x14ac:dyDescent="0.15">
      <c r="A29" s="187"/>
      <c r="B29" s="187"/>
      <c r="C29" s="187"/>
      <c r="D29" s="193">
        <f t="shared" ca="1" si="0"/>
        <v>27</v>
      </c>
      <c r="E29" s="194">
        <f t="shared" ca="1" si="1"/>
        <v>42411</v>
      </c>
      <c r="F29" s="195" t="str">
        <f t="shared" ca="1" si="2"/>
        <v>建国記念の日</v>
      </c>
      <c r="G29" s="187"/>
      <c r="H29" s="187"/>
      <c r="I29" s="74"/>
      <c r="J29" s="197">
        <f t="shared" ca="1" si="3"/>
        <v>17</v>
      </c>
      <c r="K29" s="197" t="s">
        <v>17</v>
      </c>
      <c r="L29" s="197">
        <v>11</v>
      </c>
      <c r="M29" s="197">
        <v>3</v>
      </c>
      <c r="N29" s="198">
        <f t="shared" ca="1" si="4"/>
        <v>42311</v>
      </c>
    </row>
    <row r="30" spans="1:14" ht="13.5" customHeight="1" x14ac:dyDescent="0.15">
      <c r="A30" s="187"/>
      <c r="B30" s="187"/>
      <c r="C30" s="187"/>
      <c r="D30" s="193">
        <f t="shared" ca="1" si="0"/>
        <v>28</v>
      </c>
      <c r="E30" s="194">
        <f t="shared" ca="1" si="1"/>
        <v>42449</v>
      </c>
      <c r="F30" s="195" t="str">
        <f t="shared" ca="1" si="2"/>
        <v>春分の日</v>
      </c>
      <c r="G30" s="187"/>
      <c r="H30" s="187"/>
      <c r="I30" s="74"/>
      <c r="J30" s="197" t="str">
        <f t="shared" ca="1" si="3"/>
        <v/>
      </c>
      <c r="K30" s="197" t="s">
        <v>245</v>
      </c>
      <c r="L30" s="197">
        <f>L29</f>
        <v>11</v>
      </c>
      <c r="M30" s="199" t="str">
        <f ca="1">IF(M29="-","-",IF(AND(I3&gt;1972,WEEKDAY(DATE(I3,L29,M29))=1),M29+1,"-"))</f>
        <v>-</v>
      </c>
      <c r="N30" s="198" t="str">
        <f t="shared" ca="1" si="4"/>
        <v/>
      </c>
    </row>
    <row r="31" spans="1:14" ht="13.5" customHeight="1" x14ac:dyDescent="0.15">
      <c r="A31" s="187"/>
      <c r="B31" s="187"/>
      <c r="C31" s="187"/>
      <c r="D31" s="193">
        <f t="shared" ca="1" si="0"/>
        <v>29</v>
      </c>
      <c r="E31" s="194">
        <f t="shared" ca="1" si="1"/>
        <v>42450</v>
      </c>
      <c r="F31" s="195" t="str">
        <f t="shared" ca="1" si="2"/>
        <v>振替休日</v>
      </c>
      <c r="G31" s="187"/>
      <c r="H31" s="187"/>
      <c r="I31" s="74"/>
      <c r="J31" s="197">
        <f t="shared" ca="1" si="3"/>
        <v>18</v>
      </c>
      <c r="K31" s="197" t="s">
        <v>18</v>
      </c>
      <c r="L31" s="197">
        <v>11</v>
      </c>
      <c r="M31" s="197">
        <v>23</v>
      </c>
      <c r="N31" s="198">
        <f t="shared" ca="1" si="4"/>
        <v>42331</v>
      </c>
    </row>
    <row r="32" spans="1:14" ht="13.5" customHeight="1" x14ac:dyDescent="0.15">
      <c r="A32" s="187"/>
      <c r="B32" s="187"/>
      <c r="C32" s="187"/>
      <c r="D32" s="193">
        <f t="shared" ca="1" si="0"/>
        <v>30</v>
      </c>
      <c r="E32" s="194">
        <f t="shared" ca="1" si="1"/>
        <v>42489</v>
      </c>
      <c r="F32" s="195" t="str">
        <f t="shared" ca="1" si="2"/>
        <v>昭和の日</v>
      </c>
      <c r="G32" s="187"/>
      <c r="H32" s="187"/>
      <c r="I32" s="74"/>
      <c r="J32" s="197" t="str">
        <f t="shared" ca="1" si="3"/>
        <v/>
      </c>
      <c r="K32" s="197" t="s">
        <v>245</v>
      </c>
      <c r="L32" s="197">
        <f>L31</f>
        <v>11</v>
      </c>
      <c r="M32" s="199" t="str">
        <f ca="1">IF(M31="-","-",IF(AND(I3&gt;1972,WEEKDAY(DATE(I3,L31,M31))=1),M31+1,"-"))</f>
        <v>-</v>
      </c>
      <c r="N32" s="198" t="str">
        <f t="shared" ca="1" si="4"/>
        <v/>
      </c>
    </row>
    <row r="33" spans="1:14" ht="13.5" customHeight="1" x14ac:dyDescent="0.15">
      <c r="A33" s="187"/>
      <c r="B33" s="187"/>
      <c r="C33" s="187"/>
      <c r="D33" s="193">
        <f t="shared" ca="1" si="0"/>
        <v>31</v>
      </c>
      <c r="E33" s="194">
        <f t="shared" ca="1" si="1"/>
        <v>42493</v>
      </c>
      <c r="F33" s="195" t="str">
        <f t="shared" ca="1" si="2"/>
        <v>憲法記念日</v>
      </c>
      <c r="G33" s="187"/>
      <c r="H33" s="187"/>
      <c r="I33" s="74"/>
      <c r="J33" s="197">
        <f t="shared" ca="1" si="3"/>
        <v>19</v>
      </c>
      <c r="K33" s="197" t="s">
        <v>19</v>
      </c>
      <c r="L33" s="197">
        <v>12</v>
      </c>
      <c r="M33" s="199">
        <f ca="1">IF(I3&gt;1988,23,"-")</f>
        <v>23</v>
      </c>
      <c r="N33" s="198">
        <f t="shared" ca="1" si="4"/>
        <v>42361</v>
      </c>
    </row>
    <row r="34" spans="1:14" ht="13.5" customHeight="1" x14ac:dyDescent="0.15">
      <c r="A34" s="187"/>
      <c r="B34" s="187"/>
      <c r="C34" s="187"/>
      <c r="D34" s="204">
        <f t="shared" ca="1" si="0"/>
        <v>32</v>
      </c>
      <c r="E34" s="194">
        <f t="shared" ca="1" si="1"/>
        <v>42494</v>
      </c>
      <c r="F34" s="205" t="str">
        <f t="shared" ca="1" si="2"/>
        <v>みどりの日</v>
      </c>
      <c r="G34" s="187"/>
      <c r="H34" s="187"/>
      <c r="I34" s="74"/>
      <c r="J34" s="197" t="str">
        <f t="shared" ca="1" si="3"/>
        <v/>
      </c>
      <c r="K34" s="197" t="s">
        <v>245</v>
      </c>
      <c r="L34" s="197">
        <f>L33</f>
        <v>12</v>
      </c>
      <c r="M34" s="199" t="str">
        <f ca="1">IF(M33="-","-",IF(AND(I3&gt;1972,WEEKDAY(DATE(I3,L33,M33))=1),M33+1,"-"))</f>
        <v>-</v>
      </c>
      <c r="N34" s="198" t="str">
        <f t="shared" ca="1" si="4"/>
        <v/>
      </c>
    </row>
    <row r="35" spans="1:14" ht="13.5" customHeight="1" x14ac:dyDescent="0.15">
      <c r="A35" s="187"/>
      <c r="B35" s="187"/>
      <c r="C35" s="187"/>
      <c r="D35" s="204">
        <f t="shared" ca="1" si="0"/>
        <v>33</v>
      </c>
      <c r="E35" s="194">
        <f t="shared" ca="1" si="1"/>
        <v>42495</v>
      </c>
      <c r="F35" s="205" t="str">
        <f t="shared" ca="1" si="2"/>
        <v>こどもの日</v>
      </c>
      <c r="G35" s="187"/>
      <c r="H35" s="187"/>
      <c r="I35" s="74"/>
      <c r="J35" s="197" t="str">
        <f t="shared" ca="1" si="3"/>
        <v/>
      </c>
      <c r="K35" s="197" t="str">
        <f ca="1">IF(I3=1959,"親王結婚の儀",IF(I3=1989,"大喪の礼",IF(I3=1990,"即位礼正殿の儀",IF(I3=1993,"親王結婚の儀","単年休日"))))</f>
        <v>単年休日</v>
      </c>
      <c r="L35" s="197" t="str">
        <f ca="1">IF(I3=1959,4,IF(I3=1989,2,IF(I3=1990,11,IF(I3=1993,6,""))))</f>
        <v/>
      </c>
      <c r="M35" s="199" t="str">
        <f ca="1">IF(I3=1959,10,IF(I3=1989,24,IF(I3=1990,12,IF(I3=1993,9,"-"))))</f>
        <v>-</v>
      </c>
      <c r="N35" s="198" t="str">
        <f t="shared" ca="1" si="4"/>
        <v/>
      </c>
    </row>
    <row r="36" spans="1:14" ht="13.5" customHeight="1" x14ac:dyDescent="0.15">
      <c r="A36" s="187"/>
      <c r="B36" s="187"/>
      <c r="C36" s="187"/>
      <c r="D36" s="204">
        <f t="shared" ca="1" si="0"/>
        <v>34</v>
      </c>
      <c r="E36" s="194">
        <f t="shared" ca="1" si="1"/>
        <v>42569</v>
      </c>
      <c r="F36" s="205" t="str">
        <f t="shared" ca="1" si="2"/>
        <v>海の日</v>
      </c>
      <c r="G36" s="187"/>
      <c r="H36" s="187"/>
      <c r="I36" s="74"/>
      <c r="J36" s="197">
        <f t="shared" ca="1" si="3"/>
        <v>2</v>
      </c>
      <c r="K36" s="197" t="s">
        <v>248</v>
      </c>
      <c r="L36" s="197">
        <v>1</v>
      </c>
      <c r="M36" s="199">
        <f ca="1">IF(AND(WEEKDAY(DATE(I3,1,1))=1,I3&gt;1973),"-",IF(OR($C$9=2,$C$9=3),2,"-"))</f>
        <v>2</v>
      </c>
      <c r="N36" s="198">
        <f t="shared" ca="1" si="4"/>
        <v>42006</v>
      </c>
    </row>
    <row r="37" spans="1:14" ht="13.5" customHeight="1" x14ac:dyDescent="0.15">
      <c r="A37" s="187"/>
      <c r="B37" s="187"/>
      <c r="C37" s="187"/>
      <c r="D37" s="204">
        <f t="shared" ca="1" si="0"/>
        <v>35</v>
      </c>
      <c r="E37" s="194">
        <f t="shared" ca="1" si="1"/>
        <v>42593</v>
      </c>
      <c r="F37" s="205" t="str">
        <f t="shared" ca="1" si="2"/>
        <v>山の日</v>
      </c>
      <c r="G37" s="187"/>
      <c r="H37" s="187"/>
      <c r="I37" s="74"/>
      <c r="J37" s="197">
        <f t="shared" ca="1" si="3"/>
        <v>3</v>
      </c>
      <c r="K37" s="197" t="s">
        <v>248</v>
      </c>
      <c r="L37" s="197">
        <v>1</v>
      </c>
      <c r="M37" s="199">
        <f>IF(OR($C$9=2,$C$9=3),3,"-")</f>
        <v>3</v>
      </c>
      <c r="N37" s="198">
        <f t="shared" ca="1" si="4"/>
        <v>42007</v>
      </c>
    </row>
    <row r="38" spans="1:14" ht="13.5" customHeight="1" x14ac:dyDescent="0.15">
      <c r="A38" s="187"/>
      <c r="B38" s="187"/>
      <c r="C38" s="187"/>
      <c r="D38" s="204">
        <f t="shared" ca="1" si="0"/>
        <v>36</v>
      </c>
      <c r="E38" s="194">
        <f t="shared" ca="1" si="1"/>
        <v>42632</v>
      </c>
      <c r="F38" s="205" t="str">
        <f t="shared" ca="1" si="2"/>
        <v>敬老の日</v>
      </c>
      <c r="G38" s="187"/>
      <c r="H38" s="187"/>
      <c r="I38" s="74"/>
      <c r="J38" s="197">
        <f t="shared" ca="1" si="3"/>
        <v>20</v>
      </c>
      <c r="K38" s="197" t="s">
        <v>249</v>
      </c>
      <c r="L38" s="197">
        <v>12</v>
      </c>
      <c r="M38" s="199">
        <f>IF($C$9=2,29,"-")</f>
        <v>29</v>
      </c>
      <c r="N38" s="198">
        <f t="shared" ca="1" si="4"/>
        <v>42367</v>
      </c>
    </row>
    <row r="39" spans="1:14" ht="13.5" customHeight="1" x14ac:dyDescent="0.15">
      <c r="A39" s="187"/>
      <c r="B39" s="187"/>
      <c r="C39" s="187"/>
      <c r="D39" s="204">
        <f t="shared" ca="1" si="0"/>
        <v>37</v>
      </c>
      <c r="E39" s="194">
        <f t="shared" ca="1" si="1"/>
        <v>42635</v>
      </c>
      <c r="F39" s="205" t="str">
        <f t="shared" ca="1" si="2"/>
        <v>秋分の日</v>
      </c>
      <c r="G39" s="187"/>
      <c r="H39" s="187"/>
      <c r="I39" s="74"/>
      <c r="J39" s="197">
        <f t="shared" ca="1" si="3"/>
        <v>21</v>
      </c>
      <c r="K39" s="197" t="s">
        <v>249</v>
      </c>
      <c r="L39" s="197">
        <v>12</v>
      </c>
      <c r="M39" s="199">
        <f>IF($C$9=2,30,"-")</f>
        <v>30</v>
      </c>
      <c r="N39" s="198">
        <f t="shared" ca="1" si="4"/>
        <v>42368</v>
      </c>
    </row>
    <row r="40" spans="1:14" ht="13.5" customHeight="1" x14ac:dyDescent="0.15">
      <c r="A40" s="187"/>
      <c r="B40" s="187"/>
      <c r="C40" s="187"/>
      <c r="D40" s="204">
        <f t="shared" ca="1" si="0"/>
        <v>38</v>
      </c>
      <c r="E40" s="194">
        <f t="shared" ca="1" si="1"/>
        <v>42653</v>
      </c>
      <c r="F40" s="205" t="str">
        <f t="shared" ca="1" si="2"/>
        <v>体育の日</v>
      </c>
      <c r="G40" s="187"/>
      <c r="H40" s="187"/>
      <c r="I40" s="74"/>
      <c r="J40" s="197">
        <f t="shared" ca="1" si="3"/>
        <v>22</v>
      </c>
      <c r="K40" s="197" t="s">
        <v>249</v>
      </c>
      <c r="L40" s="197">
        <v>12</v>
      </c>
      <c r="M40" s="199">
        <f>IF(OR($C$9=2,$C$9=3),31,"-")</f>
        <v>31</v>
      </c>
      <c r="N40" s="198">
        <f t="shared" ca="1" si="4"/>
        <v>42369</v>
      </c>
    </row>
    <row r="41" spans="1:14" ht="13.5" customHeight="1" x14ac:dyDescent="0.15">
      <c r="A41" s="187"/>
      <c r="B41" s="187"/>
      <c r="C41" s="187"/>
      <c r="D41" s="204">
        <f t="shared" ca="1" si="0"/>
        <v>39</v>
      </c>
      <c r="E41" s="194">
        <f t="shared" ca="1" si="1"/>
        <v>42677</v>
      </c>
      <c r="F41" s="205" t="str">
        <f t="shared" ca="1" si="2"/>
        <v>文化の日</v>
      </c>
      <c r="G41" s="187"/>
      <c r="H41" s="187"/>
      <c r="I41" s="74"/>
      <c r="J41" s="197" t="str">
        <f t="shared" si="3"/>
        <v/>
      </c>
      <c r="K41" s="197" t="s">
        <v>250</v>
      </c>
      <c r="L41" s="197"/>
      <c r="M41" s="197"/>
      <c r="N41" s="198" t="str">
        <f t="shared" si="4"/>
        <v/>
      </c>
    </row>
    <row r="42" spans="1:14" ht="13.5" customHeight="1" x14ac:dyDescent="0.15">
      <c r="A42" s="187"/>
      <c r="B42" s="187"/>
      <c r="C42" s="187"/>
      <c r="D42" s="204">
        <f t="shared" ca="1" si="0"/>
        <v>40</v>
      </c>
      <c r="E42" s="194">
        <f t="shared" ca="1" si="1"/>
        <v>42697</v>
      </c>
      <c r="F42" s="205" t="str">
        <f t="shared" ca="1" si="2"/>
        <v>勤労感謝の日</v>
      </c>
      <c r="G42" s="187"/>
      <c r="H42" s="187"/>
      <c r="I42" s="74"/>
      <c r="J42" s="197" t="str">
        <f t="shared" si="3"/>
        <v/>
      </c>
      <c r="K42" s="197" t="s">
        <v>251</v>
      </c>
      <c r="L42" s="197"/>
      <c r="M42" s="197"/>
      <c r="N42" s="198" t="str">
        <f t="shared" si="4"/>
        <v/>
      </c>
    </row>
    <row r="43" spans="1:14" ht="13.5" customHeight="1" x14ac:dyDescent="0.15">
      <c r="A43" s="187"/>
      <c r="B43" s="187"/>
      <c r="C43" s="187"/>
      <c r="D43" s="204">
        <f t="shared" ca="1" si="0"/>
        <v>41</v>
      </c>
      <c r="E43" s="194">
        <f t="shared" ca="1" si="1"/>
        <v>42727</v>
      </c>
      <c r="F43" s="205" t="str">
        <f t="shared" ca="1" si="2"/>
        <v>天皇誕生日</v>
      </c>
      <c r="G43" s="187"/>
      <c r="H43" s="187"/>
      <c r="I43" s="74"/>
      <c r="J43" s="197" t="str">
        <f t="shared" si="3"/>
        <v/>
      </c>
      <c r="K43" s="197" t="s">
        <v>251</v>
      </c>
      <c r="L43" s="197"/>
      <c r="M43" s="197"/>
      <c r="N43" s="198" t="str">
        <f t="shared" si="4"/>
        <v/>
      </c>
    </row>
    <row r="44" spans="1:14" x14ac:dyDescent="0.15">
      <c r="A44" s="187"/>
      <c r="B44" s="187"/>
      <c r="C44" s="187"/>
      <c r="D44" s="204">
        <f t="shared" ca="1" si="0"/>
        <v>42</v>
      </c>
      <c r="E44" s="194">
        <f t="shared" ca="1" si="1"/>
        <v>42733</v>
      </c>
      <c r="F44" s="205" t="str">
        <f t="shared" ca="1" si="2"/>
        <v>年末休み</v>
      </c>
      <c r="G44" s="187"/>
      <c r="H44" s="187"/>
      <c r="I44" s="74"/>
      <c r="J44" s="197" t="str">
        <f t="shared" si="3"/>
        <v/>
      </c>
      <c r="K44" s="197" t="s">
        <v>251</v>
      </c>
      <c r="L44" s="197"/>
      <c r="M44" s="197"/>
      <c r="N44" s="198" t="str">
        <f t="shared" si="4"/>
        <v/>
      </c>
    </row>
    <row r="45" spans="1:14" x14ac:dyDescent="0.15">
      <c r="A45" s="187"/>
      <c r="B45" s="187"/>
      <c r="C45" s="187"/>
      <c r="D45" s="204">
        <f t="shared" ca="1" si="0"/>
        <v>43</v>
      </c>
      <c r="E45" s="194">
        <f t="shared" ca="1" si="1"/>
        <v>42734</v>
      </c>
      <c r="F45" s="205" t="str">
        <f t="shared" ca="1" si="2"/>
        <v>年末休み</v>
      </c>
      <c r="G45" s="187"/>
      <c r="H45" s="187"/>
      <c r="I45" s="74"/>
      <c r="J45" s="197" t="str">
        <f t="shared" si="3"/>
        <v/>
      </c>
      <c r="K45" s="197" t="s">
        <v>251</v>
      </c>
      <c r="L45" s="197"/>
      <c r="M45" s="197"/>
      <c r="N45" s="198" t="str">
        <f t="shared" si="4"/>
        <v/>
      </c>
    </row>
    <row r="46" spans="1:14" x14ac:dyDescent="0.15">
      <c r="A46" s="187"/>
      <c r="B46" s="187"/>
      <c r="C46" s="187"/>
      <c r="D46" s="204">
        <f t="shared" ca="1" si="0"/>
        <v>44</v>
      </c>
      <c r="E46" s="194">
        <f t="shared" ca="1" si="1"/>
        <v>42735</v>
      </c>
      <c r="F46" s="205" t="str">
        <f t="shared" ca="1" si="2"/>
        <v>年末休み</v>
      </c>
      <c r="G46" s="187"/>
      <c r="H46" s="187"/>
      <c r="I46" s="74"/>
      <c r="J46" s="197" t="str">
        <f t="shared" si="3"/>
        <v/>
      </c>
      <c r="K46" s="197" t="s">
        <v>251</v>
      </c>
      <c r="L46" s="197"/>
      <c r="M46" s="197"/>
      <c r="N46" s="198" t="str">
        <f t="shared" si="4"/>
        <v/>
      </c>
    </row>
    <row r="47" spans="1:14" x14ac:dyDescent="0.15">
      <c r="A47" s="187"/>
      <c r="B47" s="187"/>
      <c r="C47" s="187"/>
      <c r="D47" s="204" t="str">
        <f t="shared" ca="1" si="0"/>
        <v/>
      </c>
      <c r="E47" s="194" t="str">
        <f t="shared" ca="1" si="1"/>
        <v/>
      </c>
      <c r="F47" s="205" t="str">
        <f t="shared" ca="1" si="2"/>
        <v/>
      </c>
      <c r="G47" s="187"/>
      <c r="H47" s="187"/>
      <c r="I47" s="74"/>
      <c r="J47" s="197" t="str">
        <f t="shared" si="3"/>
        <v/>
      </c>
      <c r="K47" s="197" t="s">
        <v>251</v>
      </c>
      <c r="L47" s="197"/>
      <c r="M47" s="197"/>
      <c r="N47" s="198" t="str">
        <f t="shared" si="4"/>
        <v/>
      </c>
    </row>
    <row r="48" spans="1:14" x14ac:dyDescent="0.15">
      <c r="A48" s="187"/>
      <c r="B48" s="187"/>
      <c r="C48" s="187"/>
      <c r="D48" s="204" t="str">
        <f t="shared" ca="1" si="0"/>
        <v/>
      </c>
      <c r="E48" s="194" t="str">
        <f t="shared" ca="1" si="1"/>
        <v/>
      </c>
      <c r="F48" s="205" t="str">
        <f t="shared" ca="1" si="2"/>
        <v/>
      </c>
      <c r="G48" s="187"/>
      <c r="H48" s="187"/>
      <c r="I48" s="74"/>
      <c r="J48" s="197" t="str">
        <f t="shared" si="3"/>
        <v/>
      </c>
      <c r="K48" s="197" t="s">
        <v>251</v>
      </c>
      <c r="L48" s="197"/>
      <c r="M48" s="197"/>
      <c r="N48" s="198" t="str">
        <f t="shared" si="4"/>
        <v/>
      </c>
    </row>
    <row r="49" spans="1:14" x14ac:dyDescent="0.15">
      <c r="A49" s="187"/>
      <c r="B49" s="187"/>
      <c r="C49" s="187"/>
      <c r="D49" s="204" t="str">
        <f t="shared" ca="1" si="0"/>
        <v/>
      </c>
      <c r="E49" s="194" t="str">
        <f t="shared" ca="1" si="1"/>
        <v/>
      </c>
      <c r="F49" s="205" t="str">
        <f t="shared" ca="1" si="2"/>
        <v/>
      </c>
      <c r="G49" s="187"/>
      <c r="H49" s="187"/>
      <c r="I49" s="74"/>
      <c r="J49" s="197" t="str">
        <f t="shared" si="3"/>
        <v/>
      </c>
      <c r="K49" s="197" t="s">
        <v>251</v>
      </c>
      <c r="L49" s="197"/>
      <c r="M49" s="197"/>
      <c r="N49" s="198" t="str">
        <f t="shared" si="4"/>
        <v/>
      </c>
    </row>
    <row r="50" spans="1:14" x14ac:dyDescent="0.15">
      <c r="A50" s="187"/>
      <c r="B50" s="187"/>
      <c r="C50" s="187"/>
      <c r="D50" s="204" t="str">
        <f t="shared" ca="1" si="0"/>
        <v/>
      </c>
      <c r="E50" s="194" t="str">
        <f t="shared" ca="1" si="1"/>
        <v/>
      </c>
      <c r="F50" s="205" t="str">
        <f t="shared" ca="1" si="2"/>
        <v/>
      </c>
      <c r="G50" s="187"/>
      <c r="H50" s="187"/>
      <c r="I50" s="196">
        <f ca="1">I3+1</f>
        <v>2016</v>
      </c>
      <c r="J50" s="197">
        <f t="shared" ca="1" si="3"/>
        <v>23</v>
      </c>
      <c r="K50" s="197" t="s">
        <v>8</v>
      </c>
      <c r="L50" s="197">
        <v>1</v>
      </c>
      <c r="M50" s="197">
        <v>1</v>
      </c>
      <c r="N50" s="198">
        <f ca="1">IF(AND(M50&lt;&gt;"",M50&lt;&gt;"-"),DATE($I$50,L50,M50),"")</f>
        <v>42370</v>
      </c>
    </row>
    <row r="51" spans="1:14" x14ac:dyDescent="0.15">
      <c r="A51" s="187"/>
      <c r="B51" s="187"/>
      <c r="C51" s="187"/>
      <c r="D51" s="204" t="str">
        <f t="shared" ca="1" si="0"/>
        <v/>
      </c>
      <c r="E51" s="194" t="str">
        <f t="shared" ca="1" si="1"/>
        <v/>
      </c>
      <c r="F51" s="205" t="str">
        <f t="shared" ca="1" si="2"/>
        <v/>
      </c>
      <c r="G51" s="187"/>
      <c r="H51" s="187"/>
      <c r="I51" s="74"/>
      <c r="J51" s="197" t="str">
        <f t="shared" ca="1" si="3"/>
        <v/>
      </c>
      <c r="K51" s="197" t="s">
        <v>245</v>
      </c>
      <c r="L51" s="197">
        <f>L50</f>
        <v>1</v>
      </c>
      <c r="M51" s="199" t="str">
        <f ca="1">IF(M50="-","-",IF(AND(I50&gt;1973,WEEKDAY(DATE(I50,L50,M50))=1),M50+1,"-"))</f>
        <v>-</v>
      </c>
      <c r="N51" s="198" t="str">
        <f t="shared" ref="N51:N96" ca="1" si="5">IF(AND(M51&lt;&gt;"",M51&lt;&gt;"-"),DATE($I$50,L51,M51),"")</f>
        <v/>
      </c>
    </row>
    <row r="52" spans="1:14" x14ac:dyDescent="0.15">
      <c r="A52" s="187"/>
      <c r="B52" s="187"/>
      <c r="C52" s="187"/>
      <c r="D52" s="204" t="str">
        <f t="shared" ca="1" si="0"/>
        <v/>
      </c>
      <c r="E52" s="194" t="str">
        <f t="shared" ca="1" si="1"/>
        <v/>
      </c>
      <c r="F52" s="205" t="str">
        <f t="shared" ca="1" si="2"/>
        <v/>
      </c>
      <c r="G52" s="187"/>
      <c r="H52" s="187"/>
      <c r="I52" s="74"/>
      <c r="J52" s="197">
        <f t="shared" ca="1" si="3"/>
        <v>26</v>
      </c>
      <c r="K52" s="197" t="s">
        <v>9</v>
      </c>
      <c r="L52" s="197">
        <v>1</v>
      </c>
      <c r="M52" s="197">
        <f ca="1">IF(I50&lt;2000,15,DAY(CEILING(DATE(I50,L52,6),7)+2))</f>
        <v>11</v>
      </c>
      <c r="N52" s="198">
        <f t="shared" ca="1" si="5"/>
        <v>42380</v>
      </c>
    </row>
    <row r="53" spans="1:14" x14ac:dyDescent="0.15">
      <c r="A53" s="187"/>
      <c r="B53" s="187"/>
      <c r="C53" s="187"/>
      <c r="D53" s="187"/>
      <c r="E53" s="187"/>
      <c r="F53" s="187"/>
      <c r="G53" s="187"/>
      <c r="H53" s="187"/>
      <c r="I53" s="74"/>
      <c r="J53" s="197" t="str">
        <f t="shared" ca="1" si="3"/>
        <v/>
      </c>
      <c r="K53" s="197" t="s">
        <v>245</v>
      </c>
      <c r="L53" s="197">
        <f>L52</f>
        <v>1</v>
      </c>
      <c r="M53" s="199" t="str">
        <f ca="1">IF(M52="-","-",IF(AND(I50&gt;1973,WEEKDAY(DATE(I50,L52,M52))=1),M52+1,"-"))</f>
        <v>-</v>
      </c>
      <c r="N53" s="198" t="str">
        <f t="shared" ca="1" si="5"/>
        <v/>
      </c>
    </row>
    <row r="54" spans="1:14" x14ac:dyDescent="0.15">
      <c r="A54" s="187"/>
      <c r="B54" s="187"/>
      <c r="C54" s="187"/>
      <c r="D54" s="187"/>
      <c r="E54" s="187"/>
      <c r="F54" s="187"/>
      <c r="G54" s="187"/>
      <c r="H54" s="187"/>
      <c r="I54" s="74"/>
      <c r="J54" s="197">
        <f t="shared" ca="1" si="3"/>
        <v>27</v>
      </c>
      <c r="K54" s="197" t="s">
        <v>10</v>
      </c>
      <c r="L54" s="197">
        <v>2</v>
      </c>
      <c r="M54" s="199">
        <f ca="1">IF(I50&gt;1966,11,"-")</f>
        <v>11</v>
      </c>
      <c r="N54" s="198">
        <f t="shared" ca="1" si="5"/>
        <v>42411</v>
      </c>
    </row>
    <row r="55" spans="1:14" x14ac:dyDescent="0.15">
      <c r="I55" s="74"/>
      <c r="J55" s="197" t="str">
        <f t="shared" ca="1" si="3"/>
        <v/>
      </c>
      <c r="K55" s="197" t="s">
        <v>245</v>
      </c>
      <c r="L55" s="197">
        <f>L54</f>
        <v>2</v>
      </c>
      <c r="M55" s="199" t="str">
        <f ca="1">IF(M54="-","-",IF(AND(I50&gt;1973,WEEKDAY(DATE(I50,L54,M54))=1),M54+1,"-"))</f>
        <v>-</v>
      </c>
      <c r="N55" s="198" t="str">
        <f t="shared" ca="1" si="5"/>
        <v/>
      </c>
    </row>
    <row r="56" spans="1:14" x14ac:dyDescent="0.15">
      <c r="I56" s="74"/>
      <c r="J56" s="197">
        <f t="shared" ca="1" si="3"/>
        <v>28</v>
      </c>
      <c r="K56" s="197" t="s">
        <v>11</v>
      </c>
      <c r="L56" s="197">
        <v>3</v>
      </c>
      <c r="M56" s="197">
        <f ca="1">INT(IF(I50&lt;1900,19.8277,IF(I50&lt;1980,20.8357,IF(I50&lt;2100,20.8431,21.851)))+0.242194*(I50-1980)-ROUNDDOWN((I50-IF(I50&lt;1980,1983,1980))/4,0))</f>
        <v>20</v>
      </c>
      <c r="N56" s="198">
        <f t="shared" ca="1" si="5"/>
        <v>42449</v>
      </c>
    </row>
    <row r="57" spans="1:14" x14ac:dyDescent="0.15">
      <c r="I57" s="74"/>
      <c r="J57" s="197">
        <f t="shared" ca="1" si="3"/>
        <v>29</v>
      </c>
      <c r="K57" s="197" t="s">
        <v>245</v>
      </c>
      <c r="L57" s="197">
        <f>L56</f>
        <v>3</v>
      </c>
      <c r="M57" s="199">
        <f ca="1">IF(M56="-","-",IF(AND(I50&gt;1973,WEEKDAY(DATE(I50,L56,M56))=1),M56+1,"-"))</f>
        <v>21</v>
      </c>
      <c r="N57" s="198">
        <f t="shared" ca="1" si="5"/>
        <v>42450</v>
      </c>
    </row>
    <row r="58" spans="1:14" x14ac:dyDescent="0.15">
      <c r="I58" s="74"/>
      <c r="J58" s="197">
        <f t="shared" ca="1" si="3"/>
        <v>30</v>
      </c>
      <c r="K58" s="197" t="str">
        <f ca="1">IF(I50&gt;2006,"昭和の日",IF(I50&gt;1988,"みどりの日","天皇誕生日"))</f>
        <v>昭和の日</v>
      </c>
      <c r="L58" s="197">
        <v>4</v>
      </c>
      <c r="M58" s="197">
        <v>29</v>
      </c>
      <c r="N58" s="198">
        <f t="shared" ca="1" si="5"/>
        <v>42489</v>
      </c>
    </row>
    <row r="59" spans="1:14" x14ac:dyDescent="0.15">
      <c r="I59" s="74"/>
      <c r="J59" s="197" t="str">
        <f t="shared" ca="1" si="3"/>
        <v/>
      </c>
      <c r="K59" s="197" t="s">
        <v>245</v>
      </c>
      <c r="L59" s="197">
        <f>L58</f>
        <v>4</v>
      </c>
      <c r="M59" s="199" t="str">
        <f ca="1">IF(M58="-","-",IF(AND(I50&gt;1972,WEEKDAY(DATE(I50,L58,M58))=1),M58+1,"-"))</f>
        <v>-</v>
      </c>
      <c r="N59" s="198" t="str">
        <f t="shared" ca="1" si="5"/>
        <v/>
      </c>
    </row>
    <row r="60" spans="1:14" x14ac:dyDescent="0.15">
      <c r="I60" s="74"/>
      <c r="J60" s="197">
        <f t="shared" ca="1" si="3"/>
        <v>31</v>
      </c>
      <c r="K60" s="197" t="s">
        <v>12</v>
      </c>
      <c r="L60" s="197">
        <v>5</v>
      </c>
      <c r="M60" s="197">
        <v>3</v>
      </c>
      <c r="N60" s="198">
        <f t="shared" ca="1" si="5"/>
        <v>42493</v>
      </c>
    </row>
    <row r="61" spans="1:14" x14ac:dyDescent="0.15">
      <c r="I61" s="74"/>
      <c r="J61" s="197" t="str">
        <f t="shared" ca="1" si="3"/>
        <v/>
      </c>
      <c r="K61" s="197" t="s">
        <v>245</v>
      </c>
      <c r="L61" s="197">
        <f>L60</f>
        <v>5</v>
      </c>
      <c r="M61" s="199" t="str">
        <f ca="1">IF(M60="-","-",IF(AND(I50&gt;1972,I50&lt;2007,WEEKDAY(DATE(I50,L60,M60))=1),M60+1,"-"))</f>
        <v>-</v>
      </c>
      <c r="N61" s="198" t="str">
        <f t="shared" ca="1" si="5"/>
        <v/>
      </c>
    </row>
    <row r="62" spans="1:14" x14ac:dyDescent="0.15">
      <c r="I62" s="74"/>
      <c r="J62" s="197">
        <f t="shared" ca="1" si="3"/>
        <v>32</v>
      </c>
      <c r="K62" s="197" t="str">
        <f ca="1">IF(I50&gt;2006,"みどりの日",IF(M62=4,"国民の休日",""))</f>
        <v>みどりの日</v>
      </c>
      <c r="L62" s="197">
        <v>5</v>
      </c>
      <c r="M62" s="199">
        <f ca="1">IF(OR(I50&gt;2006,AND(I50&gt;1987,WEEKDAY(DATE(I50,5,4))&lt;&gt;1,WEEKDAY(DATE(I50,5,4))&lt;&gt;2)),4,"-")</f>
        <v>4</v>
      </c>
      <c r="N62" s="198">
        <f t="shared" ca="1" si="5"/>
        <v>42494</v>
      </c>
    </row>
    <row r="63" spans="1:14" x14ac:dyDescent="0.15">
      <c r="I63" s="74"/>
      <c r="J63" s="197">
        <f t="shared" ca="1" si="3"/>
        <v>33</v>
      </c>
      <c r="K63" s="197" t="s">
        <v>20</v>
      </c>
      <c r="L63" s="197">
        <v>5</v>
      </c>
      <c r="M63" s="197">
        <v>5</v>
      </c>
      <c r="N63" s="198">
        <f t="shared" ca="1" si="5"/>
        <v>42495</v>
      </c>
    </row>
    <row r="64" spans="1:14" x14ac:dyDescent="0.15">
      <c r="I64" s="74"/>
      <c r="J64" s="197" t="str">
        <f t="shared" ca="1" si="3"/>
        <v/>
      </c>
      <c r="K64" s="197" t="s">
        <v>245</v>
      </c>
      <c r="L64" s="197">
        <f>L63</f>
        <v>5</v>
      </c>
      <c r="M64" s="199" t="str">
        <f ca="1">IF(M63="-","-",IF(OR(AND(I50&gt;2006,WEEKDAY(DATE(I50,L63,M63))&lt;4),AND(I50&gt;1972,WEEKDAY(DATE(I50,L63,M63))=1)),M63+1,"-"))</f>
        <v>-</v>
      </c>
      <c r="N64" s="198" t="str">
        <f t="shared" ca="1" si="5"/>
        <v/>
      </c>
    </row>
    <row r="65" spans="9:14" x14ac:dyDescent="0.15">
      <c r="I65" s="74"/>
      <c r="J65" s="197">
        <f t="shared" ca="1" si="3"/>
        <v>34</v>
      </c>
      <c r="K65" s="197" t="s">
        <v>13</v>
      </c>
      <c r="L65" s="197">
        <v>7</v>
      </c>
      <c r="M65" s="199">
        <f ca="1">IF(I50&lt;1996,"-",IF(I50&lt;2003,20,DAY(CEILING(DATE(I50,L65,6),7)+9)))</f>
        <v>18</v>
      </c>
      <c r="N65" s="198">
        <f t="shared" ca="1" si="5"/>
        <v>42569</v>
      </c>
    </row>
    <row r="66" spans="9:14" x14ac:dyDescent="0.15">
      <c r="I66" s="74"/>
      <c r="J66" s="197" t="str">
        <f t="shared" ca="1" si="3"/>
        <v/>
      </c>
      <c r="K66" s="197" t="s">
        <v>245</v>
      </c>
      <c r="L66" s="197">
        <f>L65</f>
        <v>7</v>
      </c>
      <c r="M66" s="199" t="str">
        <f ca="1">IF(M65="-","-",IF(AND(I50&gt;1972,WEEKDAY(DATE(I50,L65,M65))=1),M65+1,"-"))</f>
        <v>-</v>
      </c>
      <c r="N66" s="198" t="str">
        <f t="shared" ca="1" si="5"/>
        <v/>
      </c>
    </row>
    <row r="67" spans="9:14" x14ac:dyDescent="0.15">
      <c r="I67" s="74"/>
      <c r="J67" s="197">
        <f t="shared" ref="J67:J96" ca="1" si="6">IF(N67="","",RANK(N67,$N$3:$N$96,1))</f>
        <v>35</v>
      </c>
      <c r="K67" s="197" t="s">
        <v>246</v>
      </c>
      <c r="L67" s="197">
        <v>8</v>
      </c>
      <c r="M67" s="199">
        <f ca="1">IF(I50&gt;2015,11,"-")</f>
        <v>11</v>
      </c>
      <c r="N67" s="198">
        <f ca="1">IF(AND(M67&lt;&gt;"",M67&lt;&gt;"-"),DATE($I$50,L67,M67),"")</f>
        <v>42593</v>
      </c>
    </row>
    <row r="68" spans="9:14" x14ac:dyDescent="0.15">
      <c r="I68" s="74"/>
      <c r="J68" s="197" t="str">
        <f t="shared" ca="1" si="6"/>
        <v/>
      </c>
      <c r="K68" s="197" t="s">
        <v>245</v>
      </c>
      <c r="L68" s="197">
        <f>L67</f>
        <v>8</v>
      </c>
      <c r="M68" s="199" t="str">
        <f ca="1">IF(M67="-","-",IF(AND(I50&gt;1972,WEEKDAY(DATE(I50,L67,M67))=1),M67+1,"-"))</f>
        <v>-</v>
      </c>
      <c r="N68" s="198" t="str">
        <f ca="1">IF(AND(M68&lt;&gt;"",M68&lt;&gt;"-"),DATE($I$50,L68,M68),"")</f>
        <v/>
      </c>
    </row>
    <row r="69" spans="9:14" x14ac:dyDescent="0.15">
      <c r="I69" s="74"/>
      <c r="J69" s="197">
        <f t="shared" ca="1" si="6"/>
        <v>36</v>
      </c>
      <c r="K69" s="197" t="s">
        <v>14</v>
      </c>
      <c r="L69" s="197">
        <v>9</v>
      </c>
      <c r="M69" s="199">
        <f ca="1">IF(I50&lt;1966,"-",IF(I50&lt;2003,15,DAY(CEILING(DATE(I50,L69,6),7)+9)))</f>
        <v>19</v>
      </c>
      <c r="N69" s="198">
        <f t="shared" ca="1" si="5"/>
        <v>42632</v>
      </c>
    </row>
    <row r="70" spans="9:14" x14ac:dyDescent="0.15">
      <c r="I70" s="74"/>
      <c r="J70" s="197" t="str">
        <f t="shared" ca="1" si="6"/>
        <v/>
      </c>
      <c r="K70" s="197" t="s">
        <v>245</v>
      </c>
      <c r="L70" s="197">
        <f>L69</f>
        <v>9</v>
      </c>
      <c r="M70" s="199" t="str">
        <f ca="1">IF(M69="-","-",IF(AND(I50&gt;1972,WEEKDAY(DATE(I50,L69,M69))=1),M69+1,"-"))</f>
        <v>-</v>
      </c>
      <c r="N70" s="198" t="str">
        <f t="shared" ca="1" si="5"/>
        <v/>
      </c>
    </row>
    <row r="71" spans="9:14" x14ac:dyDescent="0.15">
      <c r="I71" s="74"/>
      <c r="J71" s="197" t="str">
        <f t="shared" ca="1" si="6"/>
        <v/>
      </c>
      <c r="K71" s="197" t="s">
        <v>247</v>
      </c>
      <c r="L71" s="197">
        <f>L70</f>
        <v>9</v>
      </c>
      <c r="M71" s="199" t="str">
        <f ca="1">IF(I50&gt;2002,IF(M72-M69=2,M69+1,"-"),"-")</f>
        <v>-</v>
      </c>
      <c r="N71" s="198" t="str">
        <f t="shared" ca="1" si="5"/>
        <v/>
      </c>
    </row>
    <row r="72" spans="9:14" x14ac:dyDescent="0.15">
      <c r="I72" s="74"/>
      <c r="J72" s="197">
        <f t="shared" ca="1" si="6"/>
        <v>37</v>
      </c>
      <c r="K72" s="197" t="s">
        <v>15</v>
      </c>
      <c r="L72" s="197">
        <v>9</v>
      </c>
      <c r="M72" s="197">
        <f ca="1">INT(IF(I50&lt;1900,22.2588,IF(I50&lt;1980,23.2588,IF(I50&lt;2100,23.2488,24.2488)))+0.242194*(I50-1980)-ROUNDDOWN((I50-IF(I50&lt;1980,1983,1980))/4,0))</f>
        <v>22</v>
      </c>
      <c r="N72" s="198">
        <f t="shared" ca="1" si="5"/>
        <v>42635</v>
      </c>
    </row>
    <row r="73" spans="9:14" x14ac:dyDescent="0.15">
      <c r="I73" s="74"/>
      <c r="J73" s="197" t="str">
        <f t="shared" ca="1" si="6"/>
        <v/>
      </c>
      <c r="K73" s="197" t="s">
        <v>245</v>
      </c>
      <c r="L73" s="197">
        <f>L72</f>
        <v>9</v>
      </c>
      <c r="M73" s="199" t="str">
        <f ca="1">IF(M72="-","-",IF(AND(I50&gt;1972,WEEKDAY(DATE(I50,L72,M72))=1),M72+1,"-"))</f>
        <v>-</v>
      </c>
      <c r="N73" s="198" t="str">
        <f t="shared" ca="1" si="5"/>
        <v/>
      </c>
    </row>
    <row r="74" spans="9:14" x14ac:dyDescent="0.15">
      <c r="I74" s="74"/>
      <c r="J74" s="197">
        <f t="shared" ca="1" si="6"/>
        <v>38</v>
      </c>
      <c r="K74" s="197" t="s">
        <v>16</v>
      </c>
      <c r="L74" s="197">
        <v>10</v>
      </c>
      <c r="M74" s="199">
        <f ca="1">IF(I50&lt;1966,"-",IF(I50&lt;2000,10,DAY(CEILING(DATE(I50,L74,6),7)+2)))</f>
        <v>10</v>
      </c>
      <c r="N74" s="198">
        <f t="shared" ca="1" si="5"/>
        <v>42653</v>
      </c>
    </row>
    <row r="75" spans="9:14" x14ac:dyDescent="0.15">
      <c r="I75" s="74"/>
      <c r="J75" s="197" t="str">
        <f t="shared" ca="1" si="6"/>
        <v/>
      </c>
      <c r="K75" s="197" t="s">
        <v>245</v>
      </c>
      <c r="L75" s="197">
        <f>L74</f>
        <v>10</v>
      </c>
      <c r="M75" s="199" t="str">
        <f ca="1">IF(M74="-","-",IF(AND(I50&gt;1972,WEEKDAY(DATE(I50,L74,M74))=1),M74+1,"-"))</f>
        <v>-</v>
      </c>
      <c r="N75" s="198" t="str">
        <f t="shared" ca="1" si="5"/>
        <v/>
      </c>
    </row>
    <row r="76" spans="9:14" x14ac:dyDescent="0.15">
      <c r="I76" s="74"/>
      <c r="J76" s="197">
        <f t="shared" ca="1" si="6"/>
        <v>39</v>
      </c>
      <c r="K76" s="197" t="s">
        <v>17</v>
      </c>
      <c r="L76" s="197">
        <v>11</v>
      </c>
      <c r="M76" s="197">
        <v>3</v>
      </c>
      <c r="N76" s="198">
        <f t="shared" ca="1" si="5"/>
        <v>42677</v>
      </c>
    </row>
    <row r="77" spans="9:14" x14ac:dyDescent="0.15">
      <c r="I77" s="74"/>
      <c r="J77" s="197" t="str">
        <f t="shared" ca="1" si="6"/>
        <v/>
      </c>
      <c r="K77" s="197" t="s">
        <v>245</v>
      </c>
      <c r="L77" s="197">
        <f>L76</f>
        <v>11</v>
      </c>
      <c r="M77" s="199" t="str">
        <f ca="1">IF(M76="-","-",IF(AND(I50&gt;1972,WEEKDAY(DATE(I50,L76,M76))=1),M76+1,"-"))</f>
        <v>-</v>
      </c>
      <c r="N77" s="198" t="str">
        <f t="shared" ca="1" si="5"/>
        <v/>
      </c>
    </row>
    <row r="78" spans="9:14" x14ac:dyDescent="0.15">
      <c r="I78" s="74"/>
      <c r="J78" s="197">
        <f t="shared" ca="1" si="6"/>
        <v>40</v>
      </c>
      <c r="K78" s="197" t="s">
        <v>18</v>
      </c>
      <c r="L78" s="197">
        <v>11</v>
      </c>
      <c r="M78" s="197">
        <v>23</v>
      </c>
      <c r="N78" s="198">
        <f t="shared" ca="1" si="5"/>
        <v>42697</v>
      </c>
    </row>
    <row r="79" spans="9:14" x14ac:dyDescent="0.15">
      <c r="I79" s="74"/>
      <c r="J79" s="197" t="str">
        <f t="shared" ca="1" si="6"/>
        <v/>
      </c>
      <c r="K79" s="197" t="s">
        <v>245</v>
      </c>
      <c r="L79" s="197">
        <f>L78</f>
        <v>11</v>
      </c>
      <c r="M79" s="199" t="str">
        <f ca="1">IF(M78="-","-",IF(AND(I50&gt;1972,WEEKDAY(DATE(I50,L78,M78))=1),M78+1,"-"))</f>
        <v>-</v>
      </c>
      <c r="N79" s="198" t="str">
        <f t="shared" ca="1" si="5"/>
        <v/>
      </c>
    </row>
    <row r="80" spans="9:14" x14ac:dyDescent="0.15">
      <c r="I80" s="74"/>
      <c r="J80" s="197">
        <f t="shared" ca="1" si="6"/>
        <v>41</v>
      </c>
      <c r="K80" s="197" t="s">
        <v>19</v>
      </c>
      <c r="L80" s="197">
        <v>12</v>
      </c>
      <c r="M80" s="199">
        <f ca="1">IF(I50&gt;1988,23,"-")</f>
        <v>23</v>
      </c>
      <c r="N80" s="198">
        <f t="shared" ca="1" si="5"/>
        <v>42727</v>
      </c>
    </row>
    <row r="81" spans="9:14" x14ac:dyDescent="0.15">
      <c r="I81" s="74"/>
      <c r="J81" s="197" t="str">
        <f t="shared" ca="1" si="6"/>
        <v/>
      </c>
      <c r="K81" s="197" t="s">
        <v>245</v>
      </c>
      <c r="L81" s="197">
        <f>L80</f>
        <v>12</v>
      </c>
      <c r="M81" s="199" t="str">
        <f ca="1">IF(M80="-","-",IF(AND(I50&gt;1972,WEEKDAY(DATE(I50,L80,M80))=1),M80+1,"-"))</f>
        <v>-</v>
      </c>
      <c r="N81" s="198" t="str">
        <f t="shared" ca="1" si="5"/>
        <v/>
      </c>
    </row>
    <row r="82" spans="9:14" x14ac:dyDescent="0.15">
      <c r="I82" s="74"/>
      <c r="J82" s="197" t="str">
        <f t="shared" ca="1" si="6"/>
        <v/>
      </c>
      <c r="K82" s="197" t="str">
        <f ca="1">IF(I50=1959,"親王結婚の儀",IF(I50=1989,"大喪の礼",IF(I50=1990,"即位礼正殿の儀",IF(I50=1993,"親王結婚の儀","単年休日"))))</f>
        <v>単年休日</v>
      </c>
      <c r="L82" s="197" t="str">
        <f ca="1">IF(I50=1959,4,IF(I50=1989,2,IF(I50=1990,11,IF(I50=1993,6,""))))</f>
        <v/>
      </c>
      <c r="M82" s="199" t="str">
        <f ca="1">IF(I50=1959,10,IF(I50=1989,24,IF(I50=1990,12,IF(I50=1993,9,"-"))))</f>
        <v>-</v>
      </c>
      <c r="N82" s="198" t="str">
        <f t="shared" ca="1" si="5"/>
        <v/>
      </c>
    </row>
    <row r="83" spans="9:14" x14ac:dyDescent="0.15">
      <c r="I83" s="74"/>
      <c r="J83" s="197">
        <f t="shared" ca="1" si="6"/>
        <v>24</v>
      </c>
      <c r="K83" s="197" t="s">
        <v>248</v>
      </c>
      <c r="L83" s="197">
        <v>1</v>
      </c>
      <c r="M83" s="199">
        <f ca="1">IF(AND(WEEKDAY(DATE(I50,1,1))=1,I50&gt;1973),"-",IF(OR($C$9=2,$C$9=3),2,"-"))</f>
        <v>2</v>
      </c>
      <c r="N83" s="198">
        <f t="shared" ca="1" si="5"/>
        <v>42371</v>
      </c>
    </row>
    <row r="84" spans="9:14" x14ac:dyDescent="0.15">
      <c r="I84" s="74"/>
      <c r="J84" s="197">
        <f t="shared" ca="1" si="6"/>
        <v>25</v>
      </c>
      <c r="K84" s="197" t="s">
        <v>248</v>
      </c>
      <c r="L84" s="197">
        <v>1</v>
      </c>
      <c r="M84" s="199">
        <f>IF(OR($C$9=2,$C$9=3),3,"-")</f>
        <v>3</v>
      </c>
      <c r="N84" s="198">
        <f t="shared" ca="1" si="5"/>
        <v>42372</v>
      </c>
    </row>
    <row r="85" spans="9:14" x14ac:dyDescent="0.15">
      <c r="I85" s="74"/>
      <c r="J85" s="197">
        <f t="shared" ca="1" si="6"/>
        <v>42</v>
      </c>
      <c r="K85" s="197" t="s">
        <v>249</v>
      </c>
      <c r="L85" s="197">
        <v>12</v>
      </c>
      <c r="M85" s="199">
        <f>IF($C$9=2,29,"-")</f>
        <v>29</v>
      </c>
      <c r="N85" s="198">
        <f t="shared" ca="1" si="5"/>
        <v>42733</v>
      </c>
    </row>
    <row r="86" spans="9:14" x14ac:dyDescent="0.15">
      <c r="I86" s="74"/>
      <c r="J86" s="197">
        <f t="shared" ca="1" si="6"/>
        <v>43</v>
      </c>
      <c r="K86" s="197" t="s">
        <v>249</v>
      </c>
      <c r="L86" s="197">
        <v>12</v>
      </c>
      <c r="M86" s="199">
        <f>IF($C$9=2,30,"-")</f>
        <v>30</v>
      </c>
      <c r="N86" s="198">
        <f t="shared" ca="1" si="5"/>
        <v>42734</v>
      </c>
    </row>
    <row r="87" spans="9:14" x14ac:dyDescent="0.15">
      <c r="I87" s="74"/>
      <c r="J87" s="197">
        <f t="shared" ca="1" si="6"/>
        <v>44</v>
      </c>
      <c r="K87" s="197" t="s">
        <v>249</v>
      </c>
      <c r="L87" s="197">
        <v>12</v>
      </c>
      <c r="M87" s="199">
        <f>IF(OR($C$9=2,$C$9=3),31,"-")</f>
        <v>31</v>
      </c>
      <c r="N87" s="198">
        <f t="shared" ca="1" si="5"/>
        <v>42735</v>
      </c>
    </row>
    <row r="88" spans="9:14" x14ac:dyDescent="0.15">
      <c r="I88" s="74"/>
      <c r="J88" s="197" t="str">
        <f t="shared" si="6"/>
        <v/>
      </c>
      <c r="K88" s="197" t="s">
        <v>250</v>
      </c>
      <c r="L88" s="197"/>
      <c r="M88" s="197"/>
      <c r="N88" s="198" t="str">
        <f t="shared" si="5"/>
        <v/>
      </c>
    </row>
    <row r="89" spans="9:14" x14ac:dyDescent="0.15">
      <c r="I89" s="74"/>
      <c r="J89" s="197" t="str">
        <f t="shared" si="6"/>
        <v/>
      </c>
      <c r="K89" s="197" t="s">
        <v>251</v>
      </c>
      <c r="L89" s="197"/>
      <c r="M89" s="197"/>
      <c r="N89" s="198" t="str">
        <f t="shared" si="5"/>
        <v/>
      </c>
    </row>
    <row r="90" spans="9:14" x14ac:dyDescent="0.15">
      <c r="I90" s="74"/>
      <c r="J90" s="197" t="str">
        <f t="shared" si="6"/>
        <v/>
      </c>
      <c r="K90" s="197" t="s">
        <v>251</v>
      </c>
      <c r="L90" s="197"/>
      <c r="M90" s="197"/>
      <c r="N90" s="198" t="str">
        <f t="shared" si="5"/>
        <v/>
      </c>
    </row>
    <row r="91" spans="9:14" x14ac:dyDescent="0.15">
      <c r="I91" s="74"/>
      <c r="J91" s="197" t="str">
        <f t="shared" si="6"/>
        <v/>
      </c>
      <c r="K91" s="197" t="s">
        <v>251</v>
      </c>
      <c r="L91" s="197"/>
      <c r="M91" s="197"/>
      <c r="N91" s="198" t="str">
        <f t="shared" si="5"/>
        <v/>
      </c>
    </row>
    <row r="92" spans="9:14" x14ac:dyDescent="0.15">
      <c r="I92" s="74"/>
      <c r="J92" s="197" t="str">
        <f t="shared" si="6"/>
        <v/>
      </c>
      <c r="K92" s="197" t="s">
        <v>251</v>
      </c>
      <c r="L92" s="197"/>
      <c r="M92" s="197"/>
      <c r="N92" s="198" t="str">
        <f t="shared" si="5"/>
        <v/>
      </c>
    </row>
    <row r="93" spans="9:14" x14ac:dyDescent="0.15">
      <c r="I93" s="74"/>
      <c r="J93" s="197" t="str">
        <f t="shared" si="6"/>
        <v/>
      </c>
      <c r="K93" s="197" t="s">
        <v>251</v>
      </c>
      <c r="L93" s="197"/>
      <c r="M93" s="197"/>
      <c r="N93" s="198" t="str">
        <f t="shared" si="5"/>
        <v/>
      </c>
    </row>
    <row r="94" spans="9:14" x14ac:dyDescent="0.15">
      <c r="I94" s="74"/>
      <c r="J94" s="197" t="str">
        <f t="shared" si="6"/>
        <v/>
      </c>
      <c r="K94" s="197" t="s">
        <v>251</v>
      </c>
      <c r="L94" s="197"/>
      <c r="M94" s="197"/>
      <c r="N94" s="198" t="str">
        <f t="shared" si="5"/>
        <v/>
      </c>
    </row>
    <row r="95" spans="9:14" x14ac:dyDescent="0.15">
      <c r="I95" s="74"/>
      <c r="J95" s="197" t="str">
        <f t="shared" si="6"/>
        <v/>
      </c>
      <c r="K95" s="197" t="s">
        <v>251</v>
      </c>
      <c r="L95" s="197"/>
      <c r="M95" s="197"/>
      <c r="N95" s="198" t="str">
        <f t="shared" si="5"/>
        <v/>
      </c>
    </row>
    <row r="96" spans="9:14" x14ac:dyDescent="0.15">
      <c r="I96" s="74"/>
      <c r="J96" s="197" t="str">
        <f t="shared" si="6"/>
        <v/>
      </c>
      <c r="K96" s="197" t="s">
        <v>251</v>
      </c>
      <c r="L96" s="197"/>
      <c r="M96" s="197"/>
      <c r="N96" s="198" t="str">
        <f t="shared" si="5"/>
        <v/>
      </c>
    </row>
  </sheetData>
  <mergeCells count="8">
    <mergeCell ref="R9:W9"/>
    <mergeCell ref="R10:W10"/>
    <mergeCell ref="A7:C8"/>
    <mergeCell ref="Q3:R4"/>
    <mergeCell ref="R5:W5"/>
    <mergeCell ref="R6:W6"/>
    <mergeCell ref="R7:W7"/>
    <mergeCell ref="R8:W8"/>
  </mergeCells>
  <phoneticPr fontId="2"/>
  <dataValidations count="2">
    <dataValidation type="list" allowBlank="1" showInputMessage="1" showErrorMessage="1" sqref="B9">
      <formula1>$B$10:$B$12</formula1>
    </dataValidation>
    <dataValidation type="whole" allowBlank="1" showInputMessage="1" showErrorMessage="1" sqref="B5 I3 I50">
      <formula1>1950</formula1>
      <formula2>2100</formula2>
    </dataValidation>
  </dataValidations>
  <hyperlinks>
    <hyperlink ref="R9" r:id="rId1"/>
    <hyperlink ref="R6" r:id="rId2"/>
  </hyperlinks>
  <pageMargins left="0.7" right="0.7" top="0.75" bottom="0.75" header="0.3" footer="0.3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workbookViewId="0">
      <selection activeCell="B20" sqref="B20"/>
    </sheetView>
  </sheetViews>
  <sheetFormatPr defaultRowHeight="13.5" x14ac:dyDescent="0.15"/>
  <cols>
    <col min="1" max="1" width="2.125" customWidth="1"/>
    <col min="2" max="2" width="9" customWidth="1"/>
    <col min="3" max="3" width="24" bestFit="1" customWidth="1"/>
    <col min="7" max="7" width="19.125" bestFit="1" customWidth="1"/>
  </cols>
  <sheetData>
    <row r="2" spans="2:8" x14ac:dyDescent="0.15">
      <c r="B2" s="52" t="s">
        <v>109</v>
      </c>
      <c r="C2" s="52"/>
      <c r="D2" s="52"/>
      <c r="F2" s="52" t="s">
        <v>153</v>
      </c>
      <c r="G2" s="52"/>
      <c r="H2" s="52"/>
    </row>
    <row r="3" spans="2:8" x14ac:dyDescent="0.15">
      <c r="B3">
        <v>0</v>
      </c>
      <c r="C3">
        <v>0</v>
      </c>
      <c r="D3">
        <v>0</v>
      </c>
      <c r="F3">
        <v>0</v>
      </c>
      <c r="G3">
        <v>0</v>
      </c>
      <c r="H3">
        <v>0</v>
      </c>
    </row>
    <row r="4" spans="2:8" x14ac:dyDescent="0.15">
      <c r="B4">
        <v>1</v>
      </c>
      <c r="C4" t="s">
        <v>84</v>
      </c>
      <c r="D4">
        <v>5</v>
      </c>
      <c r="F4">
        <v>1</v>
      </c>
      <c r="G4" t="s">
        <v>133</v>
      </c>
      <c r="H4">
        <v>30</v>
      </c>
    </row>
    <row r="5" spans="2:8" x14ac:dyDescent="0.15">
      <c r="B5">
        <v>15</v>
      </c>
      <c r="C5" t="s">
        <v>85</v>
      </c>
      <c r="D5">
        <v>10</v>
      </c>
      <c r="F5">
        <v>300</v>
      </c>
      <c r="G5" t="s">
        <v>134</v>
      </c>
      <c r="H5">
        <v>60</v>
      </c>
    </row>
    <row r="6" spans="2:8" x14ac:dyDescent="0.15">
      <c r="B6">
        <v>100</v>
      </c>
      <c r="C6" t="s">
        <v>86</v>
      </c>
      <c r="D6">
        <v>15</v>
      </c>
      <c r="F6">
        <v>500</v>
      </c>
      <c r="G6" t="s">
        <v>135</v>
      </c>
      <c r="H6">
        <v>80</v>
      </c>
    </row>
    <row r="7" spans="2:8" x14ac:dyDescent="0.15">
      <c r="B7">
        <v>115</v>
      </c>
      <c r="C7" t="s">
        <v>87</v>
      </c>
      <c r="D7">
        <v>20</v>
      </c>
      <c r="F7">
        <v>600</v>
      </c>
      <c r="G7" t="s">
        <v>136</v>
      </c>
      <c r="H7">
        <v>100</v>
      </c>
    </row>
    <row r="8" spans="2:8" x14ac:dyDescent="0.15">
      <c r="B8">
        <v>200</v>
      </c>
      <c r="C8" t="s">
        <v>88</v>
      </c>
      <c r="D8">
        <v>30</v>
      </c>
    </row>
    <row r="9" spans="2:8" x14ac:dyDescent="0.15">
      <c r="B9">
        <v>215</v>
      </c>
      <c r="C9" t="s">
        <v>89</v>
      </c>
      <c r="D9">
        <v>40</v>
      </c>
      <c r="F9">
        <f ca="1">'産休・育休 印刷'!P26*100+'産休・育休 印刷'!R26</f>
        <v>600</v>
      </c>
      <c r="G9" t="str">
        <f ca="1">VLOOKUP($F$9,$F$3:$H$7,2)</f>
        <v>６ヶ月</v>
      </c>
      <c r="H9">
        <f ca="1">VLOOKUP($F$9,$F$3:$H$7,3)</f>
        <v>100</v>
      </c>
    </row>
    <row r="10" spans="2:8" x14ac:dyDescent="0.15">
      <c r="B10">
        <v>300</v>
      </c>
      <c r="C10" t="s">
        <v>90</v>
      </c>
      <c r="D10">
        <v>50</v>
      </c>
    </row>
    <row r="11" spans="2:8" x14ac:dyDescent="0.15">
      <c r="B11">
        <v>315</v>
      </c>
      <c r="C11" t="s">
        <v>91</v>
      </c>
      <c r="D11">
        <v>60</v>
      </c>
    </row>
    <row r="12" spans="2:8" x14ac:dyDescent="0.15">
      <c r="B12">
        <v>400</v>
      </c>
      <c r="C12" t="s">
        <v>92</v>
      </c>
      <c r="D12">
        <v>70</v>
      </c>
    </row>
    <row r="13" spans="2:8" x14ac:dyDescent="0.15">
      <c r="B13">
        <v>415</v>
      </c>
      <c r="C13" t="s">
        <v>93</v>
      </c>
      <c r="D13">
        <v>80</v>
      </c>
    </row>
    <row r="14" spans="2:8" x14ac:dyDescent="0.15">
      <c r="B14">
        <v>500</v>
      </c>
      <c r="C14" t="s">
        <v>94</v>
      </c>
      <c r="D14">
        <v>90</v>
      </c>
    </row>
    <row r="15" spans="2:8" x14ac:dyDescent="0.15">
      <c r="B15">
        <v>515</v>
      </c>
      <c r="C15" t="s">
        <v>95</v>
      </c>
      <c r="D15">
        <v>95</v>
      </c>
    </row>
    <row r="16" spans="2:8" x14ac:dyDescent="0.15">
      <c r="B16">
        <v>600</v>
      </c>
      <c r="C16" t="s">
        <v>96</v>
      </c>
      <c r="D16">
        <v>100</v>
      </c>
    </row>
    <row r="18" spans="2:4" x14ac:dyDescent="0.15">
      <c r="B18">
        <f ca="1">'病休・介休 印刷'!G58*100+'病休・介休 印刷'!I58</f>
        <v>413</v>
      </c>
      <c r="C18" t="str">
        <f ca="1">VLOOKUP($B$18,$B$3:$D$16,2)</f>
        <v>４ヶ月以上４ヶ月１５日未満</v>
      </c>
      <c r="D18">
        <f ca="1">VLOOKUP($B$18,$B$3:$D$16,3)</f>
        <v>70</v>
      </c>
    </row>
    <row r="19" spans="2:4" x14ac:dyDescent="0.15">
      <c r="B19">
        <f ca="1">IF(('産休・育休 印刷'!P31*100+'産休・育休 印刷'!R31)&gt;=500,600,'産休・育休 印刷'!P31*100+'産休・育休 印刷'!R31)</f>
        <v>600</v>
      </c>
      <c r="C19" t="str">
        <f ca="1">VLOOKUP($B$19,$B$3:$D$16,2)</f>
        <v>６ヶ月</v>
      </c>
      <c r="D19">
        <f ca="1">VLOOKUP($B$19,$B$3:$D$16,3)</f>
        <v>100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B2:AL141"/>
  <sheetViews>
    <sheetView showGridLines="0" topLeftCell="A19" workbookViewId="0"/>
  </sheetViews>
  <sheetFormatPr defaultRowHeight="14.25" x14ac:dyDescent="0.15"/>
  <cols>
    <col min="1" max="1" width="2.375" style="74" customWidth="1"/>
    <col min="2" max="13" width="2.625" style="74" customWidth="1"/>
    <col min="14" max="14" width="2.625" style="75" customWidth="1"/>
    <col min="15" max="39" width="2.625" style="74" customWidth="1"/>
    <col min="40" max="220" width="9" style="74"/>
    <col min="221" max="295" width="2.625" style="74" customWidth="1"/>
    <col min="296" max="476" width="9" style="74"/>
    <col min="477" max="551" width="2.625" style="74" customWidth="1"/>
    <col min="552" max="732" width="9" style="74"/>
    <col min="733" max="807" width="2.625" style="74" customWidth="1"/>
    <col min="808" max="988" width="9" style="74"/>
    <col min="989" max="1063" width="2.625" style="74" customWidth="1"/>
    <col min="1064" max="1244" width="9" style="74"/>
    <col min="1245" max="1319" width="2.625" style="74" customWidth="1"/>
    <col min="1320" max="1500" width="9" style="74"/>
    <col min="1501" max="1575" width="2.625" style="74" customWidth="1"/>
    <col min="1576" max="1756" width="9" style="74"/>
    <col min="1757" max="1831" width="2.625" style="74" customWidth="1"/>
    <col min="1832" max="2012" width="9" style="74"/>
    <col min="2013" max="2087" width="2.625" style="74" customWidth="1"/>
    <col min="2088" max="2268" width="9" style="74"/>
    <col min="2269" max="2343" width="2.625" style="74" customWidth="1"/>
    <col min="2344" max="2524" width="9" style="74"/>
    <col min="2525" max="2599" width="2.625" style="74" customWidth="1"/>
    <col min="2600" max="2780" width="9" style="74"/>
    <col min="2781" max="2855" width="2.625" style="74" customWidth="1"/>
    <col min="2856" max="3036" width="9" style="74"/>
    <col min="3037" max="3111" width="2.625" style="74" customWidth="1"/>
    <col min="3112" max="3292" width="9" style="74"/>
    <col min="3293" max="3367" width="2.625" style="74" customWidth="1"/>
    <col min="3368" max="3548" width="9" style="74"/>
    <col min="3549" max="3623" width="2.625" style="74" customWidth="1"/>
    <col min="3624" max="3804" width="9" style="74"/>
    <col min="3805" max="3879" width="2.625" style="74" customWidth="1"/>
    <col min="3880" max="4060" width="9" style="74"/>
    <col min="4061" max="4135" width="2.625" style="74" customWidth="1"/>
    <col min="4136" max="4316" width="9" style="74"/>
    <col min="4317" max="4391" width="2.625" style="74" customWidth="1"/>
    <col min="4392" max="4572" width="9" style="74"/>
    <col min="4573" max="4647" width="2.625" style="74" customWidth="1"/>
    <col min="4648" max="4828" width="9" style="74"/>
    <col min="4829" max="4903" width="2.625" style="74" customWidth="1"/>
    <col min="4904" max="5084" width="9" style="74"/>
    <col min="5085" max="5159" width="2.625" style="74" customWidth="1"/>
    <col min="5160" max="5340" width="9" style="74"/>
    <col min="5341" max="5415" width="2.625" style="74" customWidth="1"/>
    <col min="5416" max="5596" width="9" style="74"/>
    <col min="5597" max="5671" width="2.625" style="74" customWidth="1"/>
    <col min="5672" max="5852" width="9" style="74"/>
    <col min="5853" max="5927" width="2.625" style="74" customWidth="1"/>
    <col min="5928" max="6108" width="9" style="74"/>
    <col min="6109" max="6183" width="2.625" style="74" customWidth="1"/>
    <col min="6184" max="6364" width="9" style="74"/>
    <col min="6365" max="6439" width="2.625" style="74" customWidth="1"/>
    <col min="6440" max="6620" width="9" style="74"/>
    <col min="6621" max="6695" width="2.625" style="74" customWidth="1"/>
    <col min="6696" max="6876" width="9" style="74"/>
    <col min="6877" max="6951" width="2.625" style="74" customWidth="1"/>
    <col min="6952" max="7132" width="9" style="74"/>
    <col min="7133" max="7207" width="2.625" style="74" customWidth="1"/>
    <col min="7208" max="7388" width="9" style="74"/>
    <col min="7389" max="7463" width="2.625" style="74" customWidth="1"/>
    <col min="7464" max="7644" width="9" style="74"/>
    <col min="7645" max="7719" width="2.625" style="74" customWidth="1"/>
    <col min="7720" max="7900" width="9" style="74"/>
    <col min="7901" max="7975" width="2.625" style="74" customWidth="1"/>
    <col min="7976" max="8156" width="9" style="74"/>
    <col min="8157" max="8231" width="2.625" style="74" customWidth="1"/>
    <col min="8232" max="8412" width="9" style="74"/>
    <col min="8413" max="8487" width="2.625" style="74" customWidth="1"/>
    <col min="8488" max="8668" width="9" style="74"/>
    <col min="8669" max="8743" width="2.625" style="74" customWidth="1"/>
    <col min="8744" max="8924" width="9" style="74"/>
    <col min="8925" max="8999" width="2.625" style="74" customWidth="1"/>
    <col min="9000" max="9180" width="9" style="74"/>
    <col min="9181" max="9255" width="2.625" style="74" customWidth="1"/>
    <col min="9256" max="9436" width="9" style="74"/>
    <col min="9437" max="9511" width="2.625" style="74" customWidth="1"/>
    <col min="9512" max="9692" width="9" style="74"/>
    <col min="9693" max="9767" width="2.625" style="74" customWidth="1"/>
    <col min="9768" max="9948" width="9" style="74"/>
    <col min="9949" max="10023" width="2.625" style="74" customWidth="1"/>
    <col min="10024" max="10204" width="9" style="74"/>
    <col min="10205" max="10279" width="2.625" style="74" customWidth="1"/>
    <col min="10280" max="10460" width="9" style="74"/>
    <col min="10461" max="10535" width="2.625" style="74" customWidth="1"/>
    <col min="10536" max="10716" width="9" style="74"/>
    <col min="10717" max="10791" width="2.625" style="74" customWidth="1"/>
    <col min="10792" max="10972" width="9" style="74"/>
    <col min="10973" max="11047" width="2.625" style="74" customWidth="1"/>
    <col min="11048" max="11228" width="9" style="74"/>
    <col min="11229" max="11303" width="2.625" style="74" customWidth="1"/>
    <col min="11304" max="11484" width="9" style="74"/>
    <col min="11485" max="11559" width="2.625" style="74" customWidth="1"/>
    <col min="11560" max="11740" width="9" style="74"/>
    <col min="11741" max="11815" width="2.625" style="74" customWidth="1"/>
    <col min="11816" max="11996" width="9" style="74"/>
    <col min="11997" max="12071" width="2.625" style="74" customWidth="1"/>
    <col min="12072" max="12252" width="9" style="74"/>
    <col min="12253" max="12327" width="2.625" style="74" customWidth="1"/>
    <col min="12328" max="12508" width="9" style="74"/>
    <col min="12509" max="12583" width="2.625" style="74" customWidth="1"/>
    <col min="12584" max="12764" width="9" style="74"/>
    <col min="12765" max="12839" width="2.625" style="74" customWidth="1"/>
    <col min="12840" max="13020" width="9" style="74"/>
    <col min="13021" max="13095" width="2.625" style="74" customWidth="1"/>
    <col min="13096" max="13276" width="9" style="74"/>
    <col min="13277" max="13351" width="2.625" style="74" customWidth="1"/>
    <col min="13352" max="13532" width="9" style="74"/>
    <col min="13533" max="13607" width="2.625" style="74" customWidth="1"/>
    <col min="13608" max="13788" width="9" style="74"/>
    <col min="13789" max="13863" width="2.625" style="74" customWidth="1"/>
    <col min="13864" max="14044" width="9" style="74"/>
    <col min="14045" max="14119" width="2.625" style="74" customWidth="1"/>
    <col min="14120" max="14300" width="9" style="74"/>
    <col min="14301" max="14375" width="2.625" style="74" customWidth="1"/>
    <col min="14376" max="14556" width="9" style="74"/>
    <col min="14557" max="14631" width="2.625" style="74" customWidth="1"/>
    <col min="14632" max="14812" width="9" style="74"/>
    <col min="14813" max="14887" width="2.625" style="74" customWidth="1"/>
    <col min="14888" max="15068" width="9" style="74"/>
    <col min="15069" max="15143" width="2.625" style="74" customWidth="1"/>
    <col min="15144" max="15324" width="9" style="74"/>
    <col min="15325" max="15399" width="2.625" style="74" customWidth="1"/>
    <col min="15400" max="15580" width="9" style="74"/>
    <col min="15581" max="15655" width="2.625" style="74" customWidth="1"/>
    <col min="15656" max="15836" width="9" style="74"/>
    <col min="15837" max="15911" width="2.625" style="74" customWidth="1"/>
    <col min="15912" max="16092" width="9" style="74"/>
    <col min="16093" max="16167" width="2.625" style="74" customWidth="1"/>
    <col min="16168" max="16384" width="9" style="74"/>
  </cols>
  <sheetData>
    <row r="2" spans="2:38" ht="17.25" customHeight="1" x14ac:dyDescent="0.15">
      <c r="C2" s="342" t="str">
        <f ca="1">"平成"&amp;TEXT(TODAY(),"e")&amp;"年"&amp;'病休・介休 入力'!B2&amp;"月　期末勤勉手当に係る除算期間内訳書"</f>
        <v>平成28年月　期末勤勉手当に係る除算期間内訳書</v>
      </c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2"/>
      <c r="Z2" s="342"/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2"/>
      <c r="AL2" s="342"/>
    </row>
    <row r="3" spans="2:38" ht="18.75" customHeight="1" x14ac:dyDescent="0.15">
      <c r="N3" s="74"/>
      <c r="O3" s="75"/>
    </row>
    <row r="4" spans="2:38" ht="24.95" customHeight="1" x14ac:dyDescent="0.15">
      <c r="C4" s="222" t="s">
        <v>154</v>
      </c>
      <c r="D4" s="223"/>
      <c r="E4" s="223"/>
      <c r="F4" s="223"/>
      <c r="G4" s="223"/>
      <c r="H4" s="274"/>
      <c r="I4" s="345">
        <f>'病休・介休 入力'!C3</f>
        <v>0</v>
      </c>
      <c r="J4" s="346"/>
      <c r="K4" s="346"/>
      <c r="L4" s="346"/>
      <c r="M4" s="346"/>
      <c r="N4" s="346"/>
      <c r="O4" s="346"/>
      <c r="P4" s="346"/>
      <c r="Q4" s="346"/>
      <c r="R4" s="347"/>
      <c r="S4" s="351" t="s">
        <v>155</v>
      </c>
      <c r="T4" s="352"/>
      <c r="U4" s="352"/>
      <c r="V4" s="352"/>
      <c r="W4" s="353"/>
      <c r="X4" s="76"/>
      <c r="Y4" s="224">
        <f>'病休・介休 入力'!C5</f>
        <v>0</v>
      </c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77"/>
    </row>
    <row r="5" spans="2:38" ht="24.95" customHeight="1" x14ac:dyDescent="0.15">
      <c r="C5" s="343"/>
      <c r="D5" s="321"/>
      <c r="E5" s="321"/>
      <c r="F5" s="321"/>
      <c r="G5" s="321"/>
      <c r="H5" s="344"/>
      <c r="I5" s="348"/>
      <c r="J5" s="349"/>
      <c r="K5" s="349"/>
      <c r="L5" s="349"/>
      <c r="M5" s="349"/>
      <c r="N5" s="349"/>
      <c r="O5" s="349"/>
      <c r="P5" s="349"/>
      <c r="Q5" s="349"/>
      <c r="R5" s="350"/>
      <c r="S5" s="354" t="s">
        <v>156</v>
      </c>
      <c r="T5" s="355"/>
      <c r="U5" s="355"/>
      <c r="V5" s="355"/>
      <c r="W5" s="356"/>
      <c r="X5" s="78"/>
      <c r="Y5" s="226">
        <f>'病休・介休 入力'!C6</f>
        <v>0</v>
      </c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79"/>
    </row>
    <row r="6" spans="2:38" ht="24.95" customHeight="1" x14ac:dyDescent="0.15">
      <c r="C6" s="332" t="s">
        <v>157</v>
      </c>
      <c r="D6" s="333"/>
      <c r="E6" s="333"/>
      <c r="F6" s="333"/>
      <c r="G6" s="333"/>
      <c r="H6" s="334"/>
      <c r="I6" s="228">
        <f>'病休・介休 入力'!C4</f>
        <v>0</v>
      </c>
      <c r="J6" s="229"/>
      <c r="K6" s="229"/>
      <c r="L6" s="229"/>
      <c r="M6" s="229"/>
      <c r="N6" s="229"/>
      <c r="O6" s="229"/>
      <c r="P6" s="229"/>
      <c r="Q6" s="229"/>
      <c r="R6" s="335"/>
      <c r="S6" s="336" t="s">
        <v>158</v>
      </c>
      <c r="T6" s="337"/>
      <c r="U6" s="337"/>
      <c r="V6" s="337"/>
      <c r="W6" s="338"/>
      <c r="X6" s="80"/>
      <c r="Y6" s="228">
        <f>'病休・介休 入力'!C7</f>
        <v>0</v>
      </c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81"/>
    </row>
    <row r="7" spans="2:38" ht="14.25" customHeight="1" x14ac:dyDescent="0.15">
      <c r="C7" s="339" t="s">
        <v>159</v>
      </c>
      <c r="D7" s="340"/>
      <c r="E7" s="340"/>
      <c r="F7" s="340"/>
      <c r="G7" s="340"/>
      <c r="H7" s="340"/>
      <c r="I7" s="340"/>
      <c r="J7" s="341"/>
      <c r="K7" s="230" t="str">
        <f>'病休・介休 入力'!C12</f>
        <v>病気休暇</v>
      </c>
      <c r="L7" s="231"/>
      <c r="M7" s="231"/>
      <c r="N7" s="231"/>
      <c r="O7" s="231"/>
      <c r="P7" s="231"/>
      <c r="Q7" s="163"/>
      <c r="R7" s="164"/>
      <c r="S7" s="164"/>
      <c r="T7" s="164"/>
      <c r="U7" s="164"/>
      <c r="V7" s="164"/>
      <c r="W7" s="165"/>
      <c r="X7" s="165"/>
      <c r="Y7" s="165"/>
      <c r="Z7" s="165"/>
      <c r="AA7" s="165"/>
      <c r="AB7" s="165"/>
      <c r="AC7" s="165"/>
      <c r="AD7" s="166"/>
      <c r="AE7" s="165"/>
      <c r="AF7" s="165"/>
      <c r="AG7" s="165"/>
      <c r="AH7" s="165"/>
      <c r="AI7" s="165"/>
      <c r="AJ7" s="165"/>
      <c r="AK7" s="165"/>
      <c r="AL7" s="167"/>
    </row>
    <row r="8" spans="2:38" ht="14.25" customHeight="1" x14ac:dyDescent="0.15">
      <c r="C8" s="309" t="s">
        <v>224</v>
      </c>
      <c r="D8" s="310"/>
      <c r="E8" s="310"/>
      <c r="F8" s="310"/>
      <c r="G8" s="310"/>
      <c r="H8" s="310"/>
      <c r="I8" s="310"/>
      <c r="J8" s="311"/>
      <c r="K8" s="312">
        <f>'病休・介休 入力'!C8</f>
        <v>42562</v>
      </c>
      <c r="L8" s="313"/>
      <c r="M8" s="313"/>
      <c r="N8" s="313"/>
      <c r="O8" s="313"/>
      <c r="P8" s="313"/>
      <c r="Q8" s="313"/>
      <c r="R8" s="313"/>
      <c r="S8" s="313"/>
      <c r="T8" s="314" t="s">
        <v>161</v>
      </c>
      <c r="U8" s="314"/>
      <c r="V8" s="315">
        <f>'病休・介休 入力'!E8</f>
        <v>42570</v>
      </c>
      <c r="W8" s="313"/>
      <c r="X8" s="313"/>
      <c r="Y8" s="313"/>
      <c r="Z8" s="313"/>
      <c r="AA8" s="313"/>
      <c r="AB8" s="313"/>
      <c r="AC8" s="313"/>
      <c r="AD8" s="313"/>
      <c r="AE8" s="169"/>
      <c r="AF8" s="169"/>
      <c r="AG8" s="169"/>
      <c r="AH8" s="169"/>
      <c r="AI8" s="169"/>
      <c r="AJ8" s="169"/>
      <c r="AK8" s="169"/>
      <c r="AL8" s="170"/>
    </row>
    <row r="9" spans="2:38" ht="14.25" customHeight="1" x14ac:dyDescent="0.15">
      <c r="C9" s="215" t="s">
        <v>225</v>
      </c>
      <c r="D9" s="216"/>
      <c r="E9" s="216"/>
      <c r="F9" s="216"/>
      <c r="G9" s="216"/>
      <c r="H9" s="216"/>
      <c r="I9" s="216"/>
      <c r="J9" s="217"/>
      <c r="K9" s="218">
        <f>IF('病休・介休 入力'!C9=0,"",'病休・介休 入力'!C9)</f>
        <v>42586</v>
      </c>
      <c r="L9" s="219"/>
      <c r="M9" s="219"/>
      <c r="N9" s="219"/>
      <c r="O9" s="219"/>
      <c r="P9" s="219"/>
      <c r="Q9" s="219"/>
      <c r="R9" s="219"/>
      <c r="S9" s="219"/>
      <c r="T9" s="220" t="s">
        <v>161</v>
      </c>
      <c r="U9" s="220"/>
      <c r="V9" s="221">
        <f>IF('病休・介休 入力'!E9=0,"",'病休・介休 入力'!E9)</f>
        <v>42633</v>
      </c>
      <c r="W9" s="219"/>
      <c r="X9" s="219"/>
      <c r="Y9" s="219"/>
      <c r="Z9" s="219"/>
      <c r="AA9" s="219"/>
      <c r="AB9" s="219"/>
      <c r="AC9" s="219"/>
      <c r="AD9" s="219"/>
      <c r="AE9" s="82"/>
      <c r="AF9" s="82"/>
      <c r="AG9" s="82"/>
      <c r="AH9" s="82"/>
      <c r="AI9" s="82"/>
      <c r="AJ9" s="82"/>
      <c r="AK9" s="82"/>
      <c r="AL9" s="83"/>
    </row>
    <row r="10" spans="2:38" ht="14.25" customHeight="1" x14ac:dyDescent="0.15">
      <c r="C10" s="329" t="s">
        <v>226</v>
      </c>
      <c r="D10" s="330"/>
      <c r="E10" s="330"/>
      <c r="F10" s="330"/>
      <c r="G10" s="330"/>
      <c r="H10" s="330"/>
      <c r="I10" s="330"/>
      <c r="J10" s="331"/>
      <c r="K10" s="211" t="str">
        <f>IF('病休・介休 入力'!C10=0,"",'病休・介休 入力'!C10)</f>
        <v/>
      </c>
      <c r="L10" s="212"/>
      <c r="M10" s="212"/>
      <c r="N10" s="212"/>
      <c r="O10" s="212"/>
      <c r="P10" s="212"/>
      <c r="Q10" s="212"/>
      <c r="R10" s="212"/>
      <c r="S10" s="212"/>
      <c r="T10" s="213" t="s">
        <v>161</v>
      </c>
      <c r="U10" s="213"/>
      <c r="V10" s="214" t="str">
        <f>IF('病休・介休 入力'!E10=0,"",'病休・介休 入力'!E10)</f>
        <v/>
      </c>
      <c r="W10" s="212"/>
      <c r="X10" s="212"/>
      <c r="Y10" s="212"/>
      <c r="Z10" s="212"/>
      <c r="AA10" s="212"/>
      <c r="AB10" s="212"/>
      <c r="AC10" s="212"/>
      <c r="AD10" s="212"/>
      <c r="AE10" s="171"/>
      <c r="AF10" s="171"/>
      <c r="AG10" s="171"/>
      <c r="AH10" s="171"/>
      <c r="AI10" s="171"/>
      <c r="AJ10" s="171"/>
      <c r="AK10" s="171"/>
      <c r="AL10" s="172"/>
    </row>
    <row r="11" spans="2:38" ht="14.25" customHeight="1" x14ac:dyDescent="0.15">
      <c r="C11" s="316" t="s">
        <v>227</v>
      </c>
      <c r="D11" s="317"/>
      <c r="E11" s="317"/>
      <c r="F11" s="317"/>
      <c r="G11" s="317"/>
      <c r="H11" s="317"/>
      <c r="I11" s="317"/>
      <c r="J11" s="318"/>
      <c r="K11" s="319">
        <f ca="1">IF('病休・介休 印刷'!T28=0,'病休・介休 印刷'!D29,'病休・介休 印刷'!D28)</f>
        <v>42562</v>
      </c>
      <c r="L11" s="320"/>
      <c r="M11" s="320"/>
      <c r="N11" s="320"/>
      <c r="O11" s="320"/>
      <c r="P11" s="320"/>
      <c r="Q11" s="320"/>
      <c r="R11" s="320"/>
      <c r="S11" s="320"/>
      <c r="T11" s="321" t="s">
        <v>161</v>
      </c>
      <c r="U11" s="321"/>
      <c r="V11" s="322">
        <f ca="1">IF('病休・介休 印刷'!T29=0,'病休・介休 印刷'!L28,'病休・介休 印刷'!L29)</f>
        <v>42570</v>
      </c>
      <c r="W11" s="320"/>
      <c r="X11" s="320"/>
      <c r="Y11" s="320"/>
      <c r="Z11" s="320"/>
      <c r="AA11" s="320"/>
      <c r="AB11" s="320"/>
      <c r="AC11" s="320"/>
      <c r="AD11" s="320"/>
      <c r="AE11" s="88"/>
      <c r="AF11" s="157"/>
      <c r="AG11" s="157"/>
      <c r="AH11" s="157"/>
      <c r="AI11" s="157"/>
      <c r="AJ11" s="157"/>
      <c r="AK11" s="157"/>
      <c r="AL11" s="168"/>
    </row>
    <row r="12" spans="2:38" ht="14.25" customHeight="1" x14ac:dyDescent="0.15">
      <c r="C12" s="215" t="s">
        <v>228</v>
      </c>
      <c r="D12" s="216"/>
      <c r="E12" s="216"/>
      <c r="F12" s="216"/>
      <c r="G12" s="216"/>
      <c r="H12" s="216"/>
      <c r="I12" s="216"/>
      <c r="J12" s="217"/>
      <c r="K12" s="218">
        <f ca="1">IF('病休・介休 印刷'!T33=0,'病休・介休 印刷'!D34,'病休・介休 印刷'!D33)</f>
        <v>42586</v>
      </c>
      <c r="L12" s="219"/>
      <c r="M12" s="219"/>
      <c r="N12" s="219"/>
      <c r="O12" s="219"/>
      <c r="P12" s="219"/>
      <c r="Q12" s="219"/>
      <c r="R12" s="219"/>
      <c r="S12" s="219"/>
      <c r="T12" s="220" t="s">
        <v>161</v>
      </c>
      <c r="U12" s="220"/>
      <c r="V12" s="221">
        <f ca="1">IF('病休・介休 印刷'!T34=0,'病休・介休 印刷'!L33,'病休・介休 印刷'!L34)</f>
        <v>42633</v>
      </c>
      <c r="W12" s="219"/>
      <c r="X12" s="219"/>
      <c r="Y12" s="219"/>
      <c r="Z12" s="219"/>
      <c r="AA12" s="219"/>
      <c r="AB12" s="219"/>
      <c r="AC12" s="219"/>
      <c r="AD12" s="219"/>
      <c r="AE12" s="82"/>
      <c r="AF12" s="161"/>
      <c r="AG12" s="161"/>
      <c r="AH12" s="161"/>
      <c r="AI12" s="161"/>
      <c r="AJ12" s="161"/>
      <c r="AK12" s="161"/>
      <c r="AL12" s="162"/>
    </row>
    <row r="13" spans="2:38" ht="14.25" customHeight="1" x14ac:dyDescent="0.15">
      <c r="C13" s="323" t="s">
        <v>229</v>
      </c>
      <c r="D13" s="324"/>
      <c r="E13" s="324"/>
      <c r="F13" s="324"/>
      <c r="G13" s="324"/>
      <c r="H13" s="324"/>
      <c r="I13" s="324"/>
      <c r="J13" s="325"/>
      <c r="K13" s="326" t="str">
        <f ca="1">IF('病休・介休 印刷'!T38=0,'病休・介休 印刷'!D39,'病休・介休 印刷'!D38)</f>
        <v>平成  年  月  日</v>
      </c>
      <c r="L13" s="327"/>
      <c r="M13" s="327"/>
      <c r="N13" s="327"/>
      <c r="O13" s="327"/>
      <c r="P13" s="327"/>
      <c r="Q13" s="327"/>
      <c r="R13" s="327"/>
      <c r="S13" s="327"/>
      <c r="T13" s="276" t="s">
        <v>161</v>
      </c>
      <c r="U13" s="276"/>
      <c r="V13" s="328" t="str">
        <f ca="1">IF('病休・介休 印刷'!T39=0,'病休・介休 印刷'!L38,'病休・介休 印刷'!L39)</f>
        <v>平成　年　月　日</v>
      </c>
      <c r="W13" s="327"/>
      <c r="X13" s="327"/>
      <c r="Y13" s="327"/>
      <c r="Z13" s="327"/>
      <c r="AA13" s="327"/>
      <c r="AB13" s="327"/>
      <c r="AC13" s="327"/>
      <c r="AD13" s="327"/>
      <c r="AE13" s="158"/>
      <c r="AF13" s="159"/>
      <c r="AG13" s="159"/>
      <c r="AH13" s="159"/>
      <c r="AI13" s="159"/>
      <c r="AJ13" s="159"/>
      <c r="AK13" s="159"/>
      <c r="AL13" s="160"/>
    </row>
    <row r="15" spans="2:38" ht="9.9499999999999993" customHeight="1" x14ac:dyDescent="0.15">
      <c r="C15" s="85"/>
      <c r="D15" s="85"/>
      <c r="E15" s="85"/>
      <c r="F15" s="85"/>
      <c r="G15" s="85"/>
      <c r="H15" s="85"/>
      <c r="I15" s="85"/>
      <c r="J15" s="86"/>
      <c r="K15" s="86"/>
      <c r="L15" s="86"/>
      <c r="M15" s="86"/>
      <c r="N15" s="86"/>
      <c r="O15" s="86"/>
      <c r="P15" s="87"/>
      <c r="Q15" s="87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8"/>
      <c r="AH15" s="88"/>
      <c r="AI15" s="88"/>
      <c r="AJ15" s="88"/>
      <c r="AK15" s="88"/>
      <c r="AL15" s="88"/>
    </row>
    <row r="16" spans="2:38" ht="20.100000000000001" customHeight="1" x14ac:dyDescent="0.15">
      <c r="B16" s="89" t="s">
        <v>163</v>
      </c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1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</row>
    <row r="17" spans="2:38" ht="9.9499999999999993" customHeight="1" x14ac:dyDescent="0.15">
      <c r="B17" s="89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1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</row>
    <row r="18" spans="2:38" ht="20.100000000000001" customHeight="1" x14ac:dyDescent="0.15">
      <c r="C18" s="222" t="s">
        <v>164</v>
      </c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74"/>
      <c r="T18" s="222" t="s">
        <v>162</v>
      </c>
      <c r="U18" s="223"/>
      <c r="V18" s="223"/>
      <c r="W18" s="223"/>
      <c r="X18" s="223"/>
      <c r="Y18" s="223"/>
      <c r="Z18" s="223"/>
      <c r="AA18" s="222" t="s">
        <v>165</v>
      </c>
      <c r="AB18" s="223"/>
      <c r="AC18" s="223"/>
      <c r="AD18" s="223"/>
      <c r="AE18" s="223"/>
      <c r="AF18" s="223"/>
      <c r="AG18" s="278" t="s">
        <v>166</v>
      </c>
      <c r="AH18" s="279"/>
      <c r="AI18" s="223"/>
      <c r="AJ18" s="223"/>
      <c r="AK18" s="223"/>
      <c r="AL18" s="274"/>
    </row>
    <row r="19" spans="2:38" ht="20.100000000000001" customHeight="1" x14ac:dyDescent="0.15">
      <c r="C19" s="275"/>
      <c r="D19" s="276"/>
      <c r="E19" s="276"/>
      <c r="F19" s="276"/>
      <c r="G19" s="276"/>
      <c r="H19" s="276"/>
      <c r="I19" s="276"/>
      <c r="J19" s="276"/>
      <c r="K19" s="276"/>
      <c r="L19" s="276"/>
      <c r="M19" s="276"/>
      <c r="N19" s="276"/>
      <c r="O19" s="276"/>
      <c r="P19" s="276"/>
      <c r="Q19" s="276"/>
      <c r="R19" s="276"/>
      <c r="S19" s="277"/>
      <c r="T19" s="275"/>
      <c r="U19" s="276"/>
      <c r="V19" s="276"/>
      <c r="W19" s="276"/>
      <c r="X19" s="276"/>
      <c r="Y19" s="276"/>
      <c r="Z19" s="276"/>
      <c r="AA19" s="275"/>
      <c r="AB19" s="276"/>
      <c r="AC19" s="276"/>
      <c r="AD19" s="276"/>
      <c r="AE19" s="276"/>
      <c r="AF19" s="276"/>
      <c r="AG19" s="275"/>
      <c r="AH19" s="276"/>
      <c r="AI19" s="276"/>
      <c r="AJ19" s="276"/>
      <c r="AK19" s="276"/>
      <c r="AL19" s="277"/>
    </row>
    <row r="20" spans="2:38" ht="20.100000000000001" customHeight="1" x14ac:dyDescent="0.15">
      <c r="C20" s="280" t="s">
        <v>167</v>
      </c>
      <c r="D20" s="280"/>
      <c r="E20" s="280"/>
      <c r="F20" s="280"/>
      <c r="G20" s="280"/>
      <c r="H20" s="262"/>
      <c r="I20" s="262"/>
      <c r="J20" s="262"/>
      <c r="K20" s="262"/>
      <c r="L20" s="263"/>
      <c r="M20" s="264" t="s">
        <v>173</v>
      </c>
      <c r="N20" s="265"/>
      <c r="O20" s="266"/>
      <c r="P20" s="262"/>
      <c r="Q20" s="262"/>
      <c r="R20" s="262"/>
      <c r="S20" s="262"/>
      <c r="T20" s="92"/>
      <c r="U20" s="93"/>
      <c r="V20" s="93"/>
      <c r="W20" s="93"/>
      <c r="X20" s="93"/>
      <c r="Y20" s="93"/>
      <c r="Z20" s="94"/>
      <c r="AA20" s="92"/>
      <c r="AB20" s="93"/>
      <c r="AC20" s="93"/>
      <c r="AD20" s="93"/>
      <c r="AE20" s="93"/>
      <c r="AF20" s="93"/>
      <c r="AG20" s="95"/>
      <c r="AH20" s="96"/>
      <c r="AI20" s="96"/>
      <c r="AJ20" s="96"/>
      <c r="AK20" s="96"/>
      <c r="AL20" s="97"/>
    </row>
    <row r="21" spans="2:38" ht="20.100000000000001" customHeight="1" x14ac:dyDescent="0.15">
      <c r="C21" s="267" t="s">
        <v>168</v>
      </c>
      <c r="D21" s="267"/>
      <c r="E21" s="267"/>
      <c r="F21" s="267"/>
      <c r="G21" s="267"/>
      <c r="H21" s="268"/>
      <c r="I21" s="268"/>
      <c r="J21" s="268"/>
      <c r="K21" s="268"/>
      <c r="L21" s="269"/>
      <c r="M21" s="270" t="s">
        <v>173</v>
      </c>
      <c r="N21" s="271"/>
      <c r="O21" s="272"/>
      <c r="P21" s="268"/>
      <c r="Q21" s="268"/>
      <c r="R21" s="268"/>
      <c r="S21" s="268"/>
      <c r="T21" s="98"/>
      <c r="U21" s="99"/>
      <c r="V21" s="99"/>
      <c r="W21" s="99"/>
      <c r="X21" s="99"/>
      <c r="Y21" s="99"/>
      <c r="Z21" s="100"/>
      <c r="AA21" s="98"/>
      <c r="AB21" s="99"/>
      <c r="AC21" s="99"/>
      <c r="AD21" s="99"/>
      <c r="AE21" s="99"/>
      <c r="AF21" s="99"/>
      <c r="AG21" s="101"/>
      <c r="AH21" s="102"/>
      <c r="AI21" s="102"/>
      <c r="AJ21" s="102"/>
      <c r="AK21" s="102"/>
      <c r="AL21" s="103"/>
    </row>
    <row r="22" spans="2:38" ht="20.100000000000001" customHeight="1" x14ac:dyDescent="0.15">
      <c r="C22" s="267" t="s">
        <v>169</v>
      </c>
      <c r="D22" s="267"/>
      <c r="E22" s="267"/>
      <c r="F22" s="267"/>
      <c r="G22" s="267"/>
      <c r="H22" s="268"/>
      <c r="I22" s="268"/>
      <c r="J22" s="268"/>
      <c r="K22" s="268"/>
      <c r="L22" s="269"/>
      <c r="M22" s="270" t="s">
        <v>173</v>
      </c>
      <c r="N22" s="271"/>
      <c r="O22" s="272"/>
      <c r="P22" s="268"/>
      <c r="Q22" s="268"/>
      <c r="R22" s="268"/>
      <c r="S22" s="268"/>
      <c r="T22" s="98"/>
      <c r="U22" s="99"/>
      <c r="V22" s="99"/>
      <c r="W22" s="99"/>
      <c r="X22" s="99"/>
      <c r="Y22" s="99"/>
      <c r="Z22" s="100"/>
      <c r="AA22" s="98"/>
      <c r="AB22" s="99"/>
      <c r="AC22" s="99"/>
      <c r="AD22" s="99"/>
      <c r="AE22" s="99"/>
      <c r="AF22" s="99"/>
      <c r="AG22" s="104"/>
      <c r="AH22" s="88"/>
      <c r="AI22" s="88"/>
      <c r="AJ22" s="88"/>
      <c r="AK22" s="88"/>
      <c r="AL22" s="105"/>
    </row>
    <row r="23" spans="2:38" ht="20.100000000000001" customHeight="1" x14ac:dyDescent="0.15">
      <c r="C23" s="267" t="s">
        <v>170</v>
      </c>
      <c r="D23" s="267"/>
      <c r="E23" s="267"/>
      <c r="F23" s="267"/>
      <c r="G23" s="267"/>
      <c r="H23" s="268"/>
      <c r="I23" s="268"/>
      <c r="J23" s="268"/>
      <c r="K23" s="268"/>
      <c r="L23" s="269"/>
      <c r="M23" s="270" t="s">
        <v>173</v>
      </c>
      <c r="N23" s="271"/>
      <c r="O23" s="272"/>
      <c r="P23" s="268"/>
      <c r="Q23" s="268"/>
      <c r="R23" s="268"/>
      <c r="S23" s="268"/>
      <c r="T23" s="98"/>
      <c r="U23" s="273"/>
      <c r="V23" s="273"/>
      <c r="W23" s="273"/>
      <c r="X23" s="273"/>
      <c r="Y23" s="273"/>
      <c r="Z23" s="106" t="s">
        <v>171</v>
      </c>
      <c r="AA23" s="98"/>
      <c r="AB23" s="99"/>
      <c r="AC23" s="99"/>
      <c r="AD23" s="99"/>
      <c r="AE23" s="99"/>
      <c r="AF23" s="99"/>
      <c r="AG23" s="104"/>
      <c r="AH23" s="88"/>
      <c r="AI23" s="88"/>
      <c r="AJ23" s="88"/>
      <c r="AK23" s="88"/>
      <c r="AL23" s="105"/>
    </row>
    <row r="24" spans="2:38" ht="20.100000000000001" customHeight="1" x14ac:dyDescent="0.15">
      <c r="C24" s="267" t="s">
        <v>172</v>
      </c>
      <c r="D24" s="267"/>
      <c r="E24" s="267"/>
      <c r="F24" s="267"/>
      <c r="G24" s="267"/>
      <c r="H24" s="268"/>
      <c r="I24" s="268"/>
      <c r="J24" s="268"/>
      <c r="K24" s="268"/>
      <c r="L24" s="269"/>
      <c r="M24" s="270" t="s">
        <v>173</v>
      </c>
      <c r="N24" s="271"/>
      <c r="O24" s="272"/>
      <c r="P24" s="268"/>
      <c r="Q24" s="268"/>
      <c r="R24" s="268"/>
      <c r="S24" s="268"/>
      <c r="T24" s="98"/>
      <c r="U24" s="99"/>
      <c r="V24" s="99"/>
      <c r="W24" s="107"/>
      <c r="X24" s="107"/>
      <c r="Y24" s="107"/>
      <c r="Z24" s="106"/>
      <c r="AA24" s="98"/>
      <c r="AB24" s="99"/>
      <c r="AC24" s="99"/>
      <c r="AD24" s="99"/>
      <c r="AE24" s="99"/>
      <c r="AF24" s="99"/>
      <c r="AG24" s="104"/>
      <c r="AH24" s="88"/>
      <c r="AI24" s="88"/>
      <c r="AJ24" s="88"/>
      <c r="AK24" s="88"/>
      <c r="AL24" s="105"/>
    </row>
    <row r="25" spans="2:38" ht="20.100000000000001" customHeight="1" x14ac:dyDescent="0.15">
      <c r="C25" s="253" t="s">
        <v>174</v>
      </c>
      <c r="D25" s="253"/>
      <c r="E25" s="253"/>
      <c r="F25" s="253"/>
      <c r="G25" s="253"/>
      <c r="H25" s="254"/>
      <c r="I25" s="254"/>
      <c r="J25" s="254"/>
      <c r="K25" s="254"/>
      <c r="L25" s="255"/>
      <c r="M25" s="256" t="s">
        <v>173</v>
      </c>
      <c r="N25" s="257"/>
      <c r="O25" s="258"/>
      <c r="P25" s="254"/>
      <c r="Q25" s="254"/>
      <c r="R25" s="254"/>
      <c r="S25" s="254"/>
      <c r="T25" s="108"/>
      <c r="U25" s="109"/>
      <c r="V25" s="109"/>
      <c r="W25" s="110"/>
      <c r="X25" s="110"/>
      <c r="Y25" s="110"/>
      <c r="Z25" s="111"/>
      <c r="AA25" s="98"/>
      <c r="AB25" s="99"/>
      <c r="AC25" s="99"/>
      <c r="AD25" s="99"/>
      <c r="AE25" s="99"/>
      <c r="AF25" s="99"/>
      <c r="AG25" s="101"/>
      <c r="AH25" s="102"/>
      <c r="AI25" s="102"/>
      <c r="AJ25" s="102"/>
      <c r="AK25" s="102"/>
      <c r="AL25" s="103"/>
    </row>
    <row r="26" spans="2:38" ht="20.100000000000001" customHeight="1" x14ac:dyDescent="0.15">
      <c r="C26" s="259" t="s">
        <v>175</v>
      </c>
      <c r="D26" s="260"/>
      <c r="E26" s="260"/>
      <c r="F26" s="260"/>
      <c r="G26" s="261"/>
      <c r="H26" s="262"/>
      <c r="I26" s="262"/>
      <c r="J26" s="262"/>
      <c r="K26" s="262"/>
      <c r="L26" s="263"/>
      <c r="M26" s="264" t="s">
        <v>173</v>
      </c>
      <c r="N26" s="265"/>
      <c r="O26" s="266"/>
      <c r="P26" s="262"/>
      <c r="Q26" s="262"/>
      <c r="R26" s="262"/>
      <c r="S26" s="262"/>
      <c r="T26" s="112"/>
      <c r="U26" s="245"/>
      <c r="V26" s="245"/>
      <c r="W26" s="245"/>
      <c r="X26" s="245"/>
      <c r="Y26" s="245"/>
      <c r="Z26" s="113" t="s">
        <v>176</v>
      </c>
      <c r="AA26" s="114"/>
      <c r="AB26" s="115"/>
      <c r="AC26" s="99"/>
      <c r="AD26" s="99"/>
      <c r="AE26" s="99"/>
      <c r="AF26" s="99"/>
      <c r="AG26" s="101"/>
      <c r="AH26" s="102"/>
      <c r="AI26" s="102"/>
      <c r="AJ26" s="102"/>
      <c r="AK26" s="102"/>
      <c r="AL26" s="103"/>
    </row>
    <row r="27" spans="2:38" ht="20.100000000000001" customHeight="1" x14ac:dyDescent="0.15">
      <c r="C27" s="246" t="s">
        <v>177</v>
      </c>
      <c r="D27" s="247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8"/>
      <c r="T27" s="116" t="s">
        <v>213</v>
      </c>
      <c r="U27" s="245"/>
      <c r="V27" s="245"/>
      <c r="W27" s="117" t="s">
        <v>171</v>
      </c>
      <c r="X27" s="249"/>
      <c r="Y27" s="249"/>
      <c r="Z27" s="118" t="s">
        <v>176</v>
      </c>
      <c r="AA27" s="250"/>
      <c r="AB27" s="251"/>
      <c r="AC27" s="107" t="s">
        <v>171</v>
      </c>
      <c r="AD27" s="252"/>
      <c r="AE27" s="252"/>
      <c r="AF27" s="107" t="s">
        <v>176</v>
      </c>
      <c r="AG27" s="232">
        <v>100</v>
      </c>
      <c r="AH27" s="233"/>
      <c r="AI27" s="102" t="s">
        <v>214</v>
      </c>
      <c r="AJ27" s="234">
        <v>100</v>
      </c>
      <c r="AK27" s="234"/>
      <c r="AL27" s="235"/>
    </row>
    <row r="28" spans="2:38" ht="20.100000000000001" customHeight="1" x14ac:dyDescent="0.15">
      <c r="C28" s="301" t="s">
        <v>180</v>
      </c>
      <c r="D28" s="302"/>
      <c r="E28" s="302"/>
      <c r="F28" s="302"/>
      <c r="G28" s="302"/>
      <c r="H28" s="173" t="s">
        <v>215</v>
      </c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5"/>
      <c r="T28" s="120"/>
      <c r="U28" s="303"/>
      <c r="V28" s="303"/>
      <c r="W28" s="117" t="s">
        <v>171</v>
      </c>
      <c r="X28" s="304"/>
      <c r="Y28" s="304"/>
      <c r="Z28" s="118" t="s">
        <v>176</v>
      </c>
      <c r="AA28" s="121"/>
      <c r="AB28" s="122"/>
      <c r="AC28" s="123"/>
      <c r="AD28" s="123"/>
      <c r="AE28" s="123"/>
      <c r="AF28" s="124"/>
      <c r="AG28" s="305"/>
      <c r="AH28" s="306"/>
      <c r="AI28" s="125"/>
      <c r="AJ28" s="307"/>
      <c r="AK28" s="307"/>
      <c r="AL28" s="308"/>
    </row>
    <row r="29" spans="2:38" ht="9.9499999999999993" customHeight="1" x14ac:dyDescent="0.15">
      <c r="C29" s="85"/>
      <c r="D29" s="85"/>
      <c r="E29" s="85"/>
      <c r="F29" s="85"/>
      <c r="G29" s="85"/>
      <c r="H29" s="85"/>
      <c r="I29" s="85"/>
      <c r="J29" s="86"/>
      <c r="K29" s="86"/>
      <c r="L29" s="86"/>
      <c r="M29" s="86"/>
      <c r="N29" s="86"/>
      <c r="O29" s="86"/>
      <c r="P29" s="87"/>
      <c r="Q29" s="87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8"/>
      <c r="AH29" s="88"/>
      <c r="AI29" s="88"/>
      <c r="AJ29" s="88"/>
      <c r="AK29" s="88"/>
      <c r="AL29" s="88"/>
    </row>
    <row r="30" spans="2:38" ht="20.100000000000001" customHeight="1" x14ac:dyDescent="0.15">
      <c r="B30" s="89" t="s">
        <v>182</v>
      </c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1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</row>
    <row r="31" spans="2:38" ht="9.9499999999999993" customHeight="1" x14ac:dyDescent="0.15">
      <c r="B31" s="89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1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</row>
    <row r="32" spans="2:38" s="126" customFormat="1" ht="30" customHeight="1" x14ac:dyDescent="0.15">
      <c r="C32" s="291" t="s">
        <v>183</v>
      </c>
      <c r="D32" s="292"/>
      <c r="E32" s="292"/>
      <c r="F32" s="292"/>
      <c r="G32" s="292"/>
      <c r="H32" s="292"/>
      <c r="I32" s="292"/>
      <c r="J32" s="293"/>
      <c r="K32" s="297" t="s">
        <v>184</v>
      </c>
      <c r="L32" s="298"/>
      <c r="M32" s="298"/>
      <c r="N32" s="298"/>
      <c r="O32" s="298"/>
      <c r="P32" s="298"/>
      <c r="Q32" s="299">
        <f ca="1">'病休・介休 印刷'!N16</f>
        <v>57</v>
      </c>
      <c r="R32" s="299"/>
      <c r="S32" s="127" t="s">
        <v>185</v>
      </c>
      <c r="T32" s="128"/>
      <c r="U32" s="281" t="s">
        <v>216</v>
      </c>
      <c r="V32" s="281"/>
      <c r="W32" s="300" t="s">
        <v>187</v>
      </c>
      <c r="X32" s="300"/>
      <c r="Y32" s="300"/>
      <c r="Z32" s="300"/>
      <c r="AA32" s="300"/>
      <c r="AB32" s="300"/>
      <c r="AC32" s="299">
        <f ca="1">'病休・介休 印刷'!N18+'病休・介休 印刷'!N20</f>
        <v>19</v>
      </c>
      <c r="AD32" s="299"/>
      <c r="AE32" s="129" t="s">
        <v>185</v>
      </c>
      <c r="AF32" s="129"/>
      <c r="AG32" s="281" t="s">
        <v>217</v>
      </c>
      <c r="AH32" s="281"/>
      <c r="AI32" s="130" t="s">
        <v>218</v>
      </c>
      <c r="AJ32" s="282">
        <f ca="1">'病休・介休 印刷'!P23</f>
        <v>38</v>
      </c>
      <c r="AK32" s="282"/>
      <c r="AL32" s="131" t="s">
        <v>185</v>
      </c>
    </row>
    <row r="33" spans="2:38" s="126" customFormat="1" ht="29.25" customHeight="1" x14ac:dyDescent="0.15">
      <c r="C33" s="294"/>
      <c r="D33" s="295"/>
      <c r="E33" s="295"/>
      <c r="F33" s="295"/>
      <c r="G33" s="295"/>
      <c r="H33" s="295"/>
      <c r="I33" s="295"/>
      <c r="J33" s="296"/>
      <c r="K33" s="283" t="s">
        <v>190</v>
      </c>
      <c r="L33" s="284"/>
      <c r="M33" s="284"/>
      <c r="N33" s="284"/>
      <c r="O33" s="284"/>
      <c r="P33" s="284"/>
      <c r="Q33" s="284"/>
      <c r="R33" s="284"/>
      <c r="S33" s="285"/>
      <c r="T33" s="286" t="s">
        <v>191</v>
      </c>
      <c r="U33" s="287"/>
      <c r="V33" s="288" t="s">
        <v>192</v>
      </c>
      <c r="W33" s="288"/>
      <c r="X33" s="288"/>
      <c r="Y33" s="288"/>
      <c r="Z33" s="288"/>
      <c r="AA33" s="288"/>
      <c r="AB33" s="288"/>
      <c r="AC33" s="289" t="s">
        <v>193</v>
      </c>
      <c r="AD33" s="289"/>
      <c r="AE33" s="289"/>
      <c r="AF33" s="288" t="s">
        <v>194</v>
      </c>
      <c r="AG33" s="288"/>
      <c r="AH33" s="288"/>
      <c r="AI33" s="288"/>
      <c r="AJ33" s="288"/>
      <c r="AK33" s="288"/>
      <c r="AL33" s="290"/>
    </row>
    <row r="34" spans="2:38" ht="7.5" customHeight="1" x14ac:dyDescent="0.15">
      <c r="B34" s="89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1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</row>
    <row r="35" spans="2:38" ht="20.100000000000001" customHeight="1" x14ac:dyDescent="0.15">
      <c r="C35" s="222" t="s">
        <v>164</v>
      </c>
      <c r="D35" s="223"/>
      <c r="E35" s="223"/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74"/>
      <c r="T35" s="222" t="s">
        <v>162</v>
      </c>
      <c r="U35" s="223"/>
      <c r="V35" s="223"/>
      <c r="W35" s="223"/>
      <c r="X35" s="223"/>
      <c r="Y35" s="223"/>
      <c r="Z35" s="223"/>
      <c r="AA35" s="222" t="s">
        <v>195</v>
      </c>
      <c r="AB35" s="223"/>
      <c r="AC35" s="223"/>
      <c r="AD35" s="223"/>
      <c r="AE35" s="223"/>
      <c r="AF35" s="223"/>
      <c r="AG35" s="278" t="s">
        <v>196</v>
      </c>
      <c r="AH35" s="279"/>
      <c r="AI35" s="223"/>
      <c r="AJ35" s="223"/>
      <c r="AK35" s="223"/>
      <c r="AL35" s="274"/>
    </row>
    <row r="36" spans="2:38" ht="20.100000000000001" customHeight="1" x14ac:dyDescent="0.15">
      <c r="C36" s="275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7"/>
      <c r="T36" s="275"/>
      <c r="U36" s="276"/>
      <c r="V36" s="276"/>
      <c r="W36" s="276"/>
      <c r="X36" s="276"/>
      <c r="Y36" s="276"/>
      <c r="Z36" s="276"/>
      <c r="AA36" s="275"/>
      <c r="AB36" s="276"/>
      <c r="AC36" s="276"/>
      <c r="AD36" s="276"/>
      <c r="AE36" s="276"/>
      <c r="AF36" s="276"/>
      <c r="AG36" s="275"/>
      <c r="AH36" s="276"/>
      <c r="AI36" s="276"/>
      <c r="AJ36" s="276"/>
      <c r="AK36" s="276"/>
      <c r="AL36" s="277"/>
    </row>
    <row r="37" spans="2:38" ht="20.100000000000001" customHeight="1" x14ac:dyDescent="0.15">
      <c r="C37" s="280" t="s">
        <v>167</v>
      </c>
      <c r="D37" s="280"/>
      <c r="E37" s="280"/>
      <c r="F37" s="280"/>
      <c r="G37" s="280"/>
      <c r="H37" s="262"/>
      <c r="I37" s="262"/>
      <c r="J37" s="262"/>
      <c r="K37" s="262"/>
      <c r="L37" s="263"/>
      <c r="M37" s="264" t="s">
        <v>219</v>
      </c>
      <c r="N37" s="265"/>
      <c r="O37" s="266"/>
      <c r="P37" s="262"/>
      <c r="Q37" s="262"/>
      <c r="R37" s="262"/>
      <c r="S37" s="262"/>
      <c r="T37" s="92"/>
      <c r="U37" s="93"/>
      <c r="V37" s="93"/>
      <c r="W37" s="93"/>
      <c r="X37" s="93"/>
      <c r="Y37" s="93"/>
      <c r="Z37" s="94"/>
      <c r="AA37" s="92"/>
      <c r="AB37" s="93"/>
      <c r="AC37" s="93"/>
      <c r="AD37" s="93"/>
      <c r="AE37" s="93"/>
      <c r="AF37" s="93"/>
      <c r="AG37" s="95"/>
      <c r="AH37" s="96"/>
      <c r="AI37" s="96"/>
      <c r="AJ37" s="96"/>
      <c r="AK37" s="96"/>
      <c r="AL37" s="97"/>
    </row>
    <row r="38" spans="2:38" ht="20.100000000000001" customHeight="1" x14ac:dyDescent="0.15">
      <c r="C38" s="267" t="s">
        <v>168</v>
      </c>
      <c r="D38" s="267"/>
      <c r="E38" s="267"/>
      <c r="F38" s="267"/>
      <c r="G38" s="267"/>
      <c r="H38" s="268"/>
      <c r="I38" s="268"/>
      <c r="J38" s="268"/>
      <c r="K38" s="268"/>
      <c r="L38" s="269"/>
      <c r="M38" s="270" t="s">
        <v>219</v>
      </c>
      <c r="N38" s="271"/>
      <c r="O38" s="272"/>
      <c r="P38" s="268"/>
      <c r="Q38" s="268"/>
      <c r="R38" s="268"/>
      <c r="S38" s="268"/>
      <c r="T38" s="98"/>
      <c r="U38" s="99"/>
      <c r="V38" s="99"/>
      <c r="W38" s="99"/>
      <c r="X38" s="99"/>
      <c r="Y38" s="99"/>
      <c r="Z38" s="100"/>
      <c r="AA38" s="98"/>
      <c r="AB38" s="99"/>
      <c r="AC38" s="99"/>
      <c r="AD38" s="99"/>
      <c r="AE38" s="99"/>
      <c r="AF38" s="99"/>
      <c r="AG38" s="101"/>
      <c r="AH38" s="102"/>
      <c r="AI38" s="102"/>
      <c r="AJ38" s="102"/>
      <c r="AK38" s="102"/>
      <c r="AL38" s="103"/>
    </row>
    <row r="39" spans="2:38" ht="20.100000000000001" customHeight="1" x14ac:dyDescent="0.15">
      <c r="C39" s="267" t="s">
        <v>169</v>
      </c>
      <c r="D39" s="267"/>
      <c r="E39" s="267"/>
      <c r="F39" s="267"/>
      <c r="G39" s="267"/>
      <c r="H39" s="268"/>
      <c r="I39" s="268"/>
      <c r="J39" s="268"/>
      <c r="K39" s="268"/>
      <c r="L39" s="269"/>
      <c r="M39" s="270" t="s">
        <v>219</v>
      </c>
      <c r="N39" s="271"/>
      <c r="O39" s="272"/>
      <c r="P39" s="268"/>
      <c r="Q39" s="268"/>
      <c r="R39" s="268"/>
      <c r="S39" s="268"/>
      <c r="T39" s="98"/>
      <c r="U39" s="99"/>
      <c r="V39" s="99"/>
      <c r="W39" s="99"/>
      <c r="X39" s="99"/>
      <c r="Y39" s="99"/>
      <c r="Z39" s="100"/>
      <c r="AA39" s="98"/>
      <c r="AB39" s="99"/>
      <c r="AC39" s="99"/>
      <c r="AD39" s="99"/>
      <c r="AE39" s="99"/>
      <c r="AF39" s="99"/>
      <c r="AG39" s="104"/>
      <c r="AH39" s="88"/>
      <c r="AI39" s="88"/>
      <c r="AJ39" s="88"/>
      <c r="AK39" s="88"/>
      <c r="AL39" s="105"/>
    </row>
    <row r="40" spans="2:38" ht="20.100000000000001" customHeight="1" x14ac:dyDescent="0.15">
      <c r="C40" s="267" t="s">
        <v>170</v>
      </c>
      <c r="D40" s="267"/>
      <c r="E40" s="267"/>
      <c r="F40" s="267"/>
      <c r="G40" s="267"/>
      <c r="H40" s="268"/>
      <c r="I40" s="268"/>
      <c r="J40" s="268"/>
      <c r="K40" s="268"/>
      <c r="L40" s="269"/>
      <c r="M40" s="270" t="s">
        <v>219</v>
      </c>
      <c r="N40" s="271"/>
      <c r="O40" s="272"/>
      <c r="P40" s="268"/>
      <c r="Q40" s="268"/>
      <c r="R40" s="268"/>
      <c r="S40" s="268"/>
      <c r="T40" s="98"/>
      <c r="U40" s="273">
        <f ca="1">'病休・介休 印刷'!T28+'病休・介休 印刷'!T33+'病休・介休 印刷'!T38</f>
        <v>1</v>
      </c>
      <c r="V40" s="273"/>
      <c r="W40" s="273"/>
      <c r="X40" s="273"/>
      <c r="Y40" s="273"/>
      <c r="Z40" s="106" t="s">
        <v>171</v>
      </c>
      <c r="AA40" s="98"/>
      <c r="AB40" s="99"/>
      <c r="AC40" s="99"/>
      <c r="AD40" s="99"/>
      <c r="AE40" s="99"/>
      <c r="AF40" s="99"/>
      <c r="AG40" s="104"/>
      <c r="AH40" s="88"/>
      <c r="AI40" s="88"/>
      <c r="AJ40" s="88"/>
      <c r="AK40" s="88"/>
      <c r="AL40" s="105"/>
    </row>
    <row r="41" spans="2:38" ht="20.100000000000001" customHeight="1" x14ac:dyDescent="0.15">
      <c r="C41" s="267" t="s">
        <v>172</v>
      </c>
      <c r="D41" s="267"/>
      <c r="E41" s="267"/>
      <c r="F41" s="267"/>
      <c r="G41" s="267"/>
      <c r="H41" s="268"/>
      <c r="I41" s="268"/>
      <c r="J41" s="268"/>
      <c r="K41" s="268"/>
      <c r="L41" s="269"/>
      <c r="M41" s="270" t="s">
        <v>219</v>
      </c>
      <c r="N41" s="271"/>
      <c r="O41" s="272"/>
      <c r="P41" s="268"/>
      <c r="Q41" s="268"/>
      <c r="R41" s="268"/>
      <c r="S41" s="268"/>
      <c r="T41" s="98"/>
      <c r="U41" s="99"/>
      <c r="V41" s="99"/>
      <c r="W41" s="107"/>
      <c r="X41" s="107"/>
      <c r="Y41" s="107"/>
      <c r="Z41" s="106"/>
      <c r="AA41" s="98"/>
      <c r="AB41" s="99"/>
      <c r="AC41" s="99"/>
      <c r="AD41" s="99"/>
      <c r="AE41" s="99"/>
      <c r="AF41" s="99"/>
      <c r="AG41" s="104"/>
      <c r="AH41" s="88"/>
      <c r="AI41" s="88"/>
      <c r="AJ41" s="88"/>
      <c r="AK41" s="88"/>
      <c r="AL41" s="105"/>
    </row>
    <row r="42" spans="2:38" ht="20.100000000000001" customHeight="1" x14ac:dyDescent="0.15">
      <c r="C42" s="253" t="s">
        <v>174</v>
      </c>
      <c r="D42" s="253"/>
      <c r="E42" s="253"/>
      <c r="F42" s="253"/>
      <c r="G42" s="253"/>
      <c r="H42" s="254"/>
      <c r="I42" s="254"/>
      <c r="J42" s="254"/>
      <c r="K42" s="254"/>
      <c r="L42" s="255"/>
      <c r="M42" s="256" t="s">
        <v>219</v>
      </c>
      <c r="N42" s="257"/>
      <c r="O42" s="258"/>
      <c r="P42" s="254"/>
      <c r="Q42" s="254"/>
      <c r="R42" s="254"/>
      <c r="S42" s="254"/>
      <c r="T42" s="108"/>
      <c r="U42" s="109"/>
      <c r="V42" s="109"/>
      <c r="W42" s="110"/>
      <c r="X42" s="110"/>
      <c r="Y42" s="110"/>
      <c r="Z42" s="111"/>
      <c r="AA42" s="98"/>
      <c r="AB42" s="99"/>
      <c r="AC42" s="99"/>
      <c r="AD42" s="99"/>
      <c r="AE42" s="99"/>
      <c r="AF42" s="99"/>
      <c r="AG42" s="101"/>
      <c r="AH42" s="102"/>
      <c r="AI42" s="102"/>
      <c r="AJ42" s="102"/>
      <c r="AK42" s="102"/>
      <c r="AL42" s="103"/>
    </row>
    <row r="43" spans="2:38" ht="20.100000000000001" customHeight="1" x14ac:dyDescent="0.15">
      <c r="C43" s="259" t="s">
        <v>197</v>
      </c>
      <c r="D43" s="260"/>
      <c r="E43" s="260"/>
      <c r="F43" s="260"/>
      <c r="G43" s="261"/>
      <c r="H43" s="262"/>
      <c r="I43" s="262"/>
      <c r="J43" s="262"/>
      <c r="K43" s="262"/>
      <c r="L43" s="263"/>
      <c r="M43" s="264" t="s">
        <v>219</v>
      </c>
      <c r="N43" s="265"/>
      <c r="O43" s="266"/>
      <c r="P43" s="262"/>
      <c r="Q43" s="262"/>
      <c r="R43" s="262"/>
      <c r="S43" s="262"/>
      <c r="T43" s="112"/>
      <c r="U43" s="245">
        <f ca="1">'病休・介休 印刷'!E30+'病休・介休 印刷'!E35+'病休・介休 印刷'!E40</f>
        <v>26</v>
      </c>
      <c r="V43" s="245"/>
      <c r="W43" s="245"/>
      <c r="X43" s="245"/>
      <c r="Y43" s="245"/>
      <c r="Z43" s="113" t="s">
        <v>176</v>
      </c>
      <c r="AA43" s="114"/>
      <c r="AB43" s="115"/>
      <c r="AC43" s="99"/>
      <c r="AD43" s="99"/>
      <c r="AE43" s="99"/>
      <c r="AF43" s="99"/>
      <c r="AG43" s="101"/>
      <c r="AH43" s="102"/>
      <c r="AI43" s="102"/>
      <c r="AJ43" s="102"/>
      <c r="AK43" s="102"/>
      <c r="AL43" s="103"/>
    </row>
    <row r="44" spans="2:38" ht="20.100000000000001" customHeight="1" x14ac:dyDescent="0.15">
      <c r="C44" s="246" t="s">
        <v>177</v>
      </c>
      <c r="D44" s="247"/>
      <c r="E44" s="247"/>
      <c r="F44" s="247"/>
      <c r="G44" s="247"/>
      <c r="H44" s="247"/>
      <c r="I44" s="247"/>
      <c r="J44" s="247"/>
      <c r="K44" s="247"/>
      <c r="L44" s="247"/>
      <c r="M44" s="247"/>
      <c r="N44" s="247"/>
      <c r="O44" s="247"/>
      <c r="P44" s="247"/>
      <c r="Q44" s="247"/>
      <c r="R44" s="247"/>
      <c r="S44" s="248"/>
      <c r="T44" s="116" t="s">
        <v>220</v>
      </c>
      <c r="U44" s="245">
        <f ca="1">U40</f>
        <v>1</v>
      </c>
      <c r="V44" s="245"/>
      <c r="W44" s="117" t="s">
        <v>171</v>
      </c>
      <c r="X44" s="249">
        <f ca="1">U43</f>
        <v>26</v>
      </c>
      <c r="Y44" s="249"/>
      <c r="Z44" s="118" t="s">
        <v>176</v>
      </c>
      <c r="AA44" s="250">
        <f ca="1">IF(U46+X46=0,6,'病休・介休 印刷'!O43)</f>
        <v>4</v>
      </c>
      <c r="AB44" s="251"/>
      <c r="AC44" s="107" t="s">
        <v>171</v>
      </c>
      <c r="AD44" s="252">
        <f ca="1">'病休・介休 印刷'!Q43</f>
        <v>13</v>
      </c>
      <c r="AE44" s="252"/>
      <c r="AF44" s="107" t="s">
        <v>176</v>
      </c>
      <c r="AG44" s="232">
        <f ca="1">IF(U46+X46=0,100,'病休・介休 印刷'!Z58)</f>
        <v>70</v>
      </c>
      <c r="AH44" s="233"/>
      <c r="AI44" s="102" t="s">
        <v>214</v>
      </c>
      <c r="AJ44" s="234">
        <v>100</v>
      </c>
      <c r="AK44" s="234"/>
      <c r="AL44" s="235"/>
    </row>
    <row r="45" spans="2:38" ht="20.100000000000001" customHeight="1" x14ac:dyDescent="0.15">
      <c r="C45" s="236" t="s">
        <v>199</v>
      </c>
      <c r="D45" s="237"/>
      <c r="E45" s="237"/>
      <c r="F45" s="237"/>
      <c r="G45" s="238"/>
      <c r="H45" s="176" t="s">
        <v>200</v>
      </c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32" t="s">
        <v>221</v>
      </c>
      <c r="U45" s="242">
        <f ca="1">'病休・介休 印刷'!I30+'病休・介休 印刷'!I35+'病休・介休 印刷'!I40</f>
        <v>9</v>
      </c>
      <c r="V45" s="242"/>
      <c r="W45" s="242"/>
      <c r="X45" s="242"/>
      <c r="Y45" s="242"/>
      <c r="Z45" s="133" t="s">
        <v>176</v>
      </c>
      <c r="AA45" s="134"/>
      <c r="AB45" s="135"/>
      <c r="AC45" s="136"/>
      <c r="AD45" s="136"/>
      <c r="AE45" s="136"/>
      <c r="AF45" s="136"/>
      <c r="AG45" s="137"/>
      <c r="AH45" s="138"/>
      <c r="AI45" s="138"/>
      <c r="AJ45" s="102"/>
      <c r="AK45" s="102"/>
      <c r="AL45" s="103"/>
    </row>
    <row r="46" spans="2:38" ht="20.100000000000001" customHeight="1" x14ac:dyDescent="0.15">
      <c r="C46" s="239"/>
      <c r="D46" s="240"/>
      <c r="E46" s="240"/>
      <c r="F46" s="240"/>
      <c r="G46" s="241"/>
      <c r="H46" s="178" t="s">
        <v>222</v>
      </c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39"/>
      <c r="U46" s="243">
        <f ca="1">'病休・介休 印刷'!J43</f>
        <v>1</v>
      </c>
      <c r="V46" s="243"/>
      <c r="W46" s="140" t="s">
        <v>171</v>
      </c>
      <c r="X46" s="244">
        <f ca="1">'病休・介休 印刷'!L43</f>
        <v>17</v>
      </c>
      <c r="Y46" s="244"/>
      <c r="Z46" s="141" t="s">
        <v>176</v>
      </c>
      <c r="AA46" s="121"/>
      <c r="AB46" s="122"/>
      <c r="AC46" s="123"/>
      <c r="AD46" s="123"/>
      <c r="AE46" s="123"/>
      <c r="AF46" s="123"/>
      <c r="AG46" s="142"/>
      <c r="AH46" s="143"/>
      <c r="AI46" s="143"/>
      <c r="AJ46" s="143"/>
      <c r="AK46" s="143"/>
      <c r="AL46" s="144"/>
    </row>
    <row r="47" spans="2:38" ht="20.100000000000001" customHeight="1" x14ac:dyDescent="0.15">
      <c r="C47" s="145"/>
      <c r="D47" s="145"/>
      <c r="E47" s="145"/>
      <c r="F47" s="145"/>
      <c r="G47" s="145"/>
      <c r="H47" s="146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20"/>
      <c r="U47" s="120"/>
      <c r="V47" s="120"/>
      <c r="W47" s="147"/>
      <c r="X47" s="147"/>
      <c r="Y47" s="147"/>
      <c r="Z47" s="147"/>
      <c r="AA47" s="120"/>
      <c r="AB47" s="120"/>
      <c r="AC47" s="147"/>
      <c r="AD47" s="147"/>
      <c r="AE47" s="147"/>
      <c r="AF47" s="147"/>
      <c r="AG47" s="148"/>
      <c r="AH47" s="148"/>
      <c r="AI47" s="148"/>
      <c r="AJ47" s="148"/>
      <c r="AK47" s="148"/>
      <c r="AL47" s="148"/>
    </row>
    <row r="48" spans="2:38" ht="20.100000000000001" customHeight="1" x14ac:dyDescent="0.15">
      <c r="C48" s="222" t="s">
        <v>203</v>
      </c>
      <c r="D48" s="223"/>
      <c r="E48" s="223"/>
      <c r="F48" s="223"/>
      <c r="G48" s="223"/>
      <c r="H48" s="149"/>
      <c r="I48" s="149"/>
      <c r="J48" s="149"/>
      <c r="K48" s="149"/>
      <c r="L48" s="149"/>
      <c r="M48" s="149"/>
      <c r="N48" s="150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49"/>
      <c r="AK48" s="149"/>
      <c r="AL48" s="151"/>
    </row>
    <row r="49" spans="3:38" ht="20.100000000000001" customHeight="1" x14ac:dyDescent="0.15">
      <c r="C49" s="104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152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105"/>
    </row>
    <row r="50" spans="3:38" ht="20.100000000000001" customHeight="1" x14ac:dyDescent="0.15">
      <c r="C50" s="104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152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105"/>
    </row>
    <row r="51" spans="3:38" ht="20.100000000000001" customHeight="1" x14ac:dyDescent="0.15">
      <c r="C51" s="104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152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105"/>
    </row>
    <row r="52" spans="3:38" ht="20.100000000000001" customHeight="1" x14ac:dyDescent="0.15">
      <c r="C52" s="149" t="s">
        <v>204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50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49"/>
      <c r="AK52" s="149"/>
      <c r="AL52" s="149"/>
    </row>
    <row r="53" spans="3:38" ht="20.100000000000001" customHeight="1" x14ac:dyDescent="0.15"/>
    <row r="54" spans="3:38" ht="20.100000000000001" customHeight="1" x14ac:dyDescent="0.15"/>
    <row r="55" spans="3:38" ht="20.100000000000001" customHeight="1" x14ac:dyDescent="0.15"/>
    <row r="56" spans="3:38" ht="20.100000000000001" customHeight="1" x14ac:dyDescent="0.15"/>
    <row r="57" spans="3:38" ht="20.100000000000001" customHeight="1" x14ac:dyDescent="0.15"/>
    <row r="58" spans="3:38" ht="20.100000000000001" customHeight="1" x14ac:dyDescent="0.15"/>
    <row r="59" spans="3:38" ht="20.100000000000001" customHeight="1" x14ac:dyDescent="0.15"/>
    <row r="60" spans="3:38" ht="20.100000000000001" customHeight="1" x14ac:dyDescent="0.15"/>
    <row r="61" spans="3:38" ht="20.100000000000001" customHeight="1" x14ac:dyDescent="0.15"/>
    <row r="62" spans="3:38" ht="20.100000000000001" customHeight="1" x14ac:dyDescent="0.15"/>
    <row r="63" spans="3:38" ht="20.100000000000001" customHeight="1" x14ac:dyDescent="0.15"/>
    <row r="64" spans="3:38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</sheetData>
  <sheetProtection sheet="1" objects="1" scenarios="1" selectLockedCells="1"/>
  <mergeCells count="142">
    <mergeCell ref="C6:H6"/>
    <mergeCell ref="I6:R6"/>
    <mergeCell ref="S6:W6"/>
    <mergeCell ref="C7:J7"/>
    <mergeCell ref="C2:AL2"/>
    <mergeCell ref="C4:H5"/>
    <mergeCell ref="I4:R5"/>
    <mergeCell ref="S4:W4"/>
    <mergeCell ref="S5:W5"/>
    <mergeCell ref="C18:S19"/>
    <mergeCell ref="T18:Z19"/>
    <mergeCell ref="AA18:AF19"/>
    <mergeCell ref="AG18:AL19"/>
    <mergeCell ref="C20:G20"/>
    <mergeCell ref="H20:L20"/>
    <mergeCell ref="M20:N20"/>
    <mergeCell ref="O20:S20"/>
    <mergeCell ref="C8:J8"/>
    <mergeCell ref="K8:S8"/>
    <mergeCell ref="T8:U8"/>
    <mergeCell ref="V8:AD8"/>
    <mergeCell ref="C11:J11"/>
    <mergeCell ref="K11:S11"/>
    <mergeCell ref="T11:U11"/>
    <mergeCell ref="V11:AD11"/>
    <mergeCell ref="K9:S9"/>
    <mergeCell ref="T9:U9"/>
    <mergeCell ref="C13:J13"/>
    <mergeCell ref="K13:S13"/>
    <mergeCell ref="T13:U13"/>
    <mergeCell ref="V13:AD13"/>
    <mergeCell ref="V9:AD9"/>
    <mergeCell ref="C10:J10"/>
    <mergeCell ref="U23:Y23"/>
    <mergeCell ref="C24:G24"/>
    <mergeCell ref="H24:L24"/>
    <mergeCell ref="M24:N24"/>
    <mergeCell ref="O24:S24"/>
    <mergeCell ref="C21:G21"/>
    <mergeCell ref="H21:L21"/>
    <mergeCell ref="M21:N21"/>
    <mergeCell ref="O21:S21"/>
    <mergeCell ref="C22:G22"/>
    <mergeCell ref="H22:L22"/>
    <mergeCell ref="M22:N22"/>
    <mergeCell ref="O22:S22"/>
    <mergeCell ref="C25:G25"/>
    <mergeCell ref="H25:L25"/>
    <mergeCell ref="M25:N25"/>
    <mergeCell ref="O25:S25"/>
    <mergeCell ref="C26:G26"/>
    <mergeCell ref="H26:L26"/>
    <mergeCell ref="M26:N26"/>
    <mergeCell ref="O26:S26"/>
    <mergeCell ref="C23:G23"/>
    <mergeCell ref="H23:L23"/>
    <mergeCell ref="M23:N23"/>
    <mergeCell ref="O23:S23"/>
    <mergeCell ref="AG27:AH27"/>
    <mergeCell ref="AJ27:AL27"/>
    <mergeCell ref="C28:G28"/>
    <mergeCell ref="U28:V28"/>
    <mergeCell ref="X28:Y28"/>
    <mergeCell ref="AG28:AH28"/>
    <mergeCell ref="AJ28:AL28"/>
    <mergeCell ref="U26:Y26"/>
    <mergeCell ref="C27:S27"/>
    <mergeCell ref="U27:V27"/>
    <mergeCell ref="X27:Y27"/>
    <mergeCell ref="AA27:AB27"/>
    <mergeCell ref="AD27:AE27"/>
    <mergeCell ref="T35:Z36"/>
    <mergeCell ref="AA35:AF36"/>
    <mergeCell ref="AG35:AL36"/>
    <mergeCell ref="C37:G37"/>
    <mergeCell ref="H37:L37"/>
    <mergeCell ref="M37:N37"/>
    <mergeCell ref="O37:S37"/>
    <mergeCell ref="AG32:AH32"/>
    <mergeCell ref="AJ32:AK32"/>
    <mergeCell ref="K33:S33"/>
    <mergeCell ref="T33:U33"/>
    <mergeCell ref="V33:AB33"/>
    <mergeCell ref="AC33:AE33"/>
    <mergeCell ref="AF33:AL33"/>
    <mergeCell ref="C32:J33"/>
    <mergeCell ref="K32:P32"/>
    <mergeCell ref="Q32:R32"/>
    <mergeCell ref="U32:V32"/>
    <mergeCell ref="W32:AB32"/>
    <mergeCell ref="AC32:AD32"/>
    <mergeCell ref="C38:G38"/>
    <mergeCell ref="H38:L38"/>
    <mergeCell ref="M38:N38"/>
    <mergeCell ref="O38:S38"/>
    <mergeCell ref="C39:G39"/>
    <mergeCell ref="H39:L39"/>
    <mergeCell ref="M39:N39"/>
    <mergeCell ref="O39:S39"/>
    <mergeCell ref="C35:S36"/>
    <mergeCell ref="C40:G40"/>
    <mergeCell ref="H40:L40"/>
    <mergeCell ref="M40:N40"/>
    <mergeCell ref="O40:S40"/>
    <mergeCell ref="U40:Y40"/>
    <mergeCell ref="C41:G41"/>
    <mergeCell ref="H41:L41"/>
    <mergeCell ref="M41:N41"/>
    <mergeCell ref="O41:S41"/>
    <mergeCell ref="AD44:AE44"/>
    <mergeCell ref="C42:G42"/>
    <mergeCell ref="H42:L42"/>
    <mergeCell ref="M42:N42"/>
    <mergeCell ref="O42:S42"/>
    <mergeCell ref="C43:G43"/>
    <mergeCell ref="H43:L43"/>
    <mergeCell ref="M43:N43"/>
    <mergeCell ref="O43:S43"/>
    <mergeCell ref="K10:S10"/>
    <mergeCell ref="T10:U10"/>
    <mergeCell ref="V10:AD10"/>
    <mergeCell ref="C12:J12"/>
    <mergeCell ref="K12:S12"/>
    <mergeCell ref="T12:U12"/>
    <mergeCell ref="V12:AD12"/>
    <mergeCell ref="C48:G48"/>
    <mergeCell ref="Y4:AK4"/>
    <mergeCell ref="Y5:AK5"/>
    <mergeCell ref="Y6:AK6"/>
    <mergeCell ref="K7:P7"/>
    <mergeCell ref="C9:J9"/>
    <mergeCell ref="AG44:AH44"/>
    <mergeCell ref="AJ44:AL44"/>
    <mergeCell ref="C45:G46"/>
    <mergeCell ref="U45:Y45"/>
    <mergeCell ref="U46:V46"/>
    <mergeCell ref="X46:Y46"/>
    <mergeCell ref="U43:Y43"/>
    <mergeCell ref="C44:S44"/>
    <mergeCell ref="U44:V44"/>
    <mergeCell ref="X44:Y44"/>
    <mergeCell ref="AA44:AB44"/>
  </mergeCells>
  <phoneticPr fontId="2"/>
  <conditionalFormatting sqref="T33:U33">
    <cfRule type="expression" dxfId="27" priority="4">
      <formula>$AJ$32&gt;30</formula>
    </cfRule>
  </conditionalFormatting>
  <conditionalFormatting sqref="AC33:AE33">
    <cfRule type="expression" dxfId="26" priority="3">
      <formula>$AJ$32&lt;=30</formula>
    </cfRule>
  </conditionalFormatting>
  <conditionalFormatting sqref="V33:AB33">
    <cfRule type="expression" dxfId="25" priority="2">
      <formula>AJ32&gt;30</formula>
    </cfRule>
  </conditionalFormatting>
  <conditionalFormatting sqref="AF33:AL33">
    <cfRule type="expression" dxfId="24" priority="1">
      <formula>$AJ$32&lt;=30</formula>
    </cfRule>
  </conditionalFormatting>
  <pageMargins left="1.1811023622047245" right="0.59055118110236227" top="0.59055118110236227" bottom="0.59055118110236227" header="0" footer="0"/>
  <pageSetup paperSize="9" scale="87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B2:AJ60"/>
  <sheetViews>
    <sheetView showZeros="0" topLeftCell="A46" workbookViewId="0">
      <selection activeCell="M35" sqref="M35:N35"/>
    </sheetView>
  </sheetViews>
  <sheetFormatPr defaultColWidth="3" defaultRowHeight="18" customHeight="1" x14ac:dyDescent="0.15"/>
  <cols>
    <col min="1" max="9" width="3" style="1"/>
    <col min="10" max="10" width="3" style="1" customWidth="1"/>
    <col min="11" max="11" width="3" style="1"/>
    <col min="12" max="14" width="3" style="1" customWidth="1"/>
    <col min="15" max="17" width="3" style="1"/>
    <col min="18" max="18" width="3" style="1" customWidth="1"/>
    <col min="19" max="21" width="3" style="1"/>
    <col min="22" max="22" width="3" style="1" customWidth="1"/>
    <col min="23" max="24" width="3" style="1"/>
    <col min="25" max="26" width="3" style="1" customWidth="1"/>
    <col min="27" max="16384" width="3" style="1"/>
  </cols>
  <sheetData>
    <row r="2" spans="2:36" ht="18" customHeight="1" x14ac:dyDescent="0.15">
      <c r="B2" s="365" t="str">
        <f ca="1">"平成"&amp;TEXT(TODAY(),"e")&amp;"年"&amp;'病休・介休 入力'!B2&amp;'病休・介休 入力'!C2&amp;" 除算期間計算書（病休・介休・休職）"</f>
        <v>平成28年月期末勤勉手当 除算期間計算書（病休・介休・休職）</v>
      </c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  <c r="Z2" s="365"/>
      <c r="AA2" s="365"/>
      <c r="AB2" s="365"/>
      <c r="AC2" s="365"/>
      <c r="AD2" s="365"/>
      <c r="AE2" s="33"/>
      <c r="AF2" s="33"/>
      <c r="AG2" s="33"/>
      <c r="AH2" s="33"/>
      <c r="AI2" s="33"/>
      <c r="AJ2" s="33"/>
    </row>
    <row r="3" spans="2:36" ht="13.5" customHeight="1" x14ac:dyDescent="0.15"/>
    <row r="4" spans="2:36" ht="18" customHeight="1" x14ac:dyDescent="0.15">
      <c r="V4" s="366" t="s">
        <v>55</v>
      </c>
      <c r="W4" s="367"/>
      <c r="X4" s="367"/>
      <c r="Y4" s="367"/>
      <c r="Z4" s="360">
        <f>'病休・介休 入力'!C3</f>
        <v>0</v>
      </c>
      <c r="AA4" s="360"/>
      <c r="AB4" s="360"/>
      <c r="AC4" s="360"/>
      <c r="AD4" s="361"/>
    </row>
    <row r="5" spans="2:36" ht="18" customHeight="1" x14ac:dyDescent="0.15">
      <c r="V5" s="368" t="s">
        <v>56</v>
      </c>
      <c r="W5" s="369"/>
      <c r="X5" s="369"/>
      <c r="Y5" s="369"/>
      <c r="Z5" s="362">
        <f>'病休・介休 入力'!C4</f>
        <v>0</v>
      </c>
      <c r="AA5" s="363"/>
      <c r="AB5" s="363"/>
      <c r="AC5" s="363"/>
      <c r="AD5" s="364"/>
    </row>
    <row r="6" spans="2:36" ht="13.5" customHeight="1" x14ac:dyDescent="0.15"/>
    <row r="7" spans="2:36" ht="18" customHeight="1" x14ac:dyDescent="0.15">
      <c r="B7" s="1" t="str">
        <f>"職名："&amp;'病休・介休 入力'!C5&amp;"　　氏名："&amp;'病休・介休 入力'!C6&amp;"　にかかる除算期間等の計算"</f>
        <v>職名：　　氏名：　にかかる除算期間等の計算</v>
      </c>
    </row>
    <row r="8" spans="2:36" ht="13.5" customHeight="1" x14ac:dyDescent="0.15"/>
    <row r="9" spans="2:36" ht="18" customHeight="1" x14ac:dyDescent="0.15">
      <c r="B9" s="1" t="s">
        <v>57</v>
      </c>
    </row>
    <row r="10" spans="2:36" ht="9" customHeight="1" x14ac:dyDescent="0.15"/>
    <row r="11" spans="2:36" ht="18" customHeight="1" x14ac:dyDescent="0.15">
      <c r="C11" s="1" t="s">
        <v>76</v>
      </c>
    </row>
    <row r="12" spans="2:36" ht="18" customHeight="1" x14ac:dyDescent="0.15">
      <c r="D12" s="1" t="s">
        <v>67</v>
      </c>
      <c r="E12" s="357">
        <f>IF('病休・介休 入力'!C8="","平成  年  月  日",'病休・介休 入力'!C8)</f>
        <v>42562</v>
      </c>
      <c r="F12" s="357"/>
      <c r="G12" s="357"/>
      <c r="H12" s="357"/>
      <c r="I12" s="357"/>
      <c r="J12" s="357"/>
      <c r="K12" s="357"/>
      <c r="L12" s="7" t="s">
        <v>25</v>
      </c>
      <c r="M12" s="357">
        <f>IF('病休・介休 入力'!E8="","平成　年　月　日",'病休・介休 入力'!E8)</f>
        <v>42570</v>
      </c>
      <c r="N12" s="357"/>
      <c r="O12" s="357"/>
      <c r="P12" s="357"/>
      <c r="Q12" s="357"/>
      <c r="R12" s="357"/>
      <c r="S12" s="357"/>
    </row>
    <row r="13" spans="2:36" ht="18" customHeight="1" x14ac:dyDescent="0.15">
      <c r="D13" s="1" t="s">
        <v>68</v>
      </c>
      <c r="E13" s="357">
        <f>IF('病休・介休 入力'!C9="","平成  年  月  日",'病休・介休 入力'!C9)</f>
        <v>42586</v>
      </c>
      <c r="F13" s="357"/>
      <c r="G13" s="357"/>
      <c r="H13" s="357"/>
      <c r="I13" s="357"/>
      <c r="J13" s="357"/>
      <c r="K13" s="357"/>
      <c r="L13" s="7" t="s">
        <v>25</v>
      </c>
      <c r="M13" s="357">
        <f>IF('病休・介休 入力'!E9="","平成　年　月　日",'病休・介休 入力'!E9)</f>
        <v>42633</v>
      </c>
      <c r="N13" s="357"/>
      <c r="O13" s="357"/>
      <c r="P13" s="357"/>
      <c r="Q13" s="357"/>
      <c r="R13" s="357"/>
      <c r="S13" s="357"/>
    </row>
    <row r="14" spans="2:36" ht="18" customHeight="1" x14ac:dyDescent="0.15">
      <c r="D14" s="1" t="s">
        <v>69</v>
      </c>
      <c r="E14" s="357" t="str">
        <f>IF('病休・介休 入力'!C10="","平成  年  月  日",'病休・介休 入力'!C10)</f>
        <v>平成  年  月  日</v>
      </c>
      <c r="F14" s="357"/>
      <c r="G14" s="357"/>
      <c r="H14" s="357"/>
      <c r="I14" s="357"/>
      <c r="J14" s="357"/>
      <c r="K14" s="357"/>
      <c r="L14" s="7" t="s">
        <v>25</v>
      </c>
      <c r="M14" s="357" t="str">
        <f>IF('病休・介休 入力'!E10="","平成　年　月　日",'病休・介休 入力'!E10)</f>
        <v>平成　年　月　日</v>
      </c>
      <c r="N14" s="357"/>
      <c r="O14" s="357"/>
      <c r="P14" s="357"/>
      <c r="Q14" s="357"/>
      <c r="R14" s="357"/>
      <c r="S14" s="357"/>
    </row>
    <row r="15" spans="2:36" s="32" customFormat="1" ht="4.5" customHeight="1" x14ac:dyDescent="0.15">
      <c r="E15" s="34"/>
      <c r="F15" s="34"/>
      <c r="G15" s="34"/>
      <c r="H15" s="34"/>
      <c r="I15" s="34"/>
      <c r="J15" s="34"/>
      <c r="K15" s="34"/>
      <c r="L15" s="31"/>
      <c r="M15" s="34"/>
      <c r="N15" s="34"/>
      <c r="O15" s="34"/>
      <c r="P15" s="34"/>
      <c r="Q15" s="34"/>
      <c r="R15" s="34"/>
      <c r="S15" s="34"/>
    </row>
    <row r="16" spans="2:36" ht="18" customHeight="1" x14ac:dyDescent="0.15">
      <c r="C16" s="1" t="s">
        <v>58</v>
      </c>
      <c r="N16" s="358">
        <f ca="1">SUM('病休等 TEMP'!C3:C5)</f>
        <v>57</v>
      </c>
      <c r="O16" s="358"/>
      <c r="P16" s="1" t="s">
        <v>64</v>
      </c>
    </row>
    <row r="17" spans="2:22" s="32" customFormat="1" ht="4.5" customHeight="1" x14ac:dyDescent="0.15">
      <c r="E17" s="34"/>
      <c r="F17" s="34"/>
      <c r="G17" s="34"/>
      <c r="H17" s="34"/>
      <c r="I17" s="34"/>
      <c r="J17" s="34"/>
      <c r="K17" s="34"/>
      <c r="L17" s="31"/>
      <c r="M17" s="34"/>
      <c r="N17" s="34"/>
      <c r="O17" s="34"/>
      <c r="P17" s="34"/>
      <c r="Q17" s="34"/>
      <c r="R17" s="34"/>
      <c r="S17" s="34"/>
    </row>
    <row r="18" spans="2:22" ht="18" customHeight="1" x14ac:dyDescent="0.15">
      <c r="C18" s="1" t="s">
        <v>59</v>
      </c>
      <c r="N18" s="358">
        <f ca="1">SUM('病休等 TEMP'!C6:C8)</f>
        <v>16</v>
      </c>
      <c r="O18" s="358"/>
      <c r="P18" s="1" t="s">
        <v>64</v>
      </c>
    </row>
    <row r="19" spans="2:22" s="32" customFormat="1" ht="4.5" customHeight="1" x14ac:dyDescent="0.15">
      <c r="E19" s="34"/>
      <c r="F19" s="34"/>
      <c r="G19" s="34"/>
      <c r="H19" s="34"/>
      <c r="I19" s="34"/>
      <c r="J19" s="34"/>
      <c r="K19" s="34"/>
      <c r="L19" s="31"/>
      <c r="M19" s="34"/>
      <c r="N19" s="34"/>
      <c r="O19" s="34"/>
      <c r="P19" s="34"/>
      <c r="Q19" s="34"/>
      <c r="R19" s="34"/>
      <c r="S19" s="34"/>
    </row>
    <row r="20" spans="2:22" ht="18" customHeight="1" x14ac:dyDescent="0.15">
      <c r="C20" s="1" t="s">
        <v>60</v>
      </c>
      <c r="N20" s="358">
        <f ca="1">SUM('病休等 TEMP'!C9:C11)</f>
        <v>3</v>
      </c>
      <c r="O20" s="358"/>
      <c r="P20" s="1" t="s">
        <v>64</v>
      </c>
    </row>
    <row r="21" spans="2:22" s="32" customFormat="1" ht="4.5" customHeight="1" x14ac:dyDescent="0.15">
      <c r="E21" s="34"/>
      <c r="F21" s="34"/>
      <c r="G21" s="34"/>
      <c r="H21" s="34"/>
      <c r="I21" s="34"/>
      <c r="J21" s="34"/>
      <c r="K21" s="34"/>
      <c r="L21" s="31"/>
      <c r="M21" s="34"/>
      <c r="N21" s="34"/>
      <c r="O21" s="34"/>
      <c r="P21" s="34"/>
      <c r="Q21" s="34"/>
      <c r="R21" s="34"/>
      <c r="S21" s="34"/>
    </row>
    <row r="22" spans="2:22" ht="18" customHeight="1" x14ac:dyDescent="0.15">
      <c r="C22" s="1" t="s">
        <v>61</v>
      </c>
    </row>
    <row r="23" spans="2:22" ht="18" customHeight="1" x14ac:dyDescent="0.15">
      <c r="D23" s="358">
        <f ca="1">N16</f>
        <v>57</v>
      </c>
      <c r="E23" s="358"/>
      <c r="F23" s="1" t="s">
        <v>64</v>
      </c>
      <c r="G23" s="1" t="s">
        <v>62</v>
      </c>
      <c r="H23" s="358">
        <f ca="1">N18</f>
        <v>16</v>
      </c>
      <c r="I23" s="358"/>
      <c r="J23" s="1" t="s">
        <v>64</v>
      </c>
      <c r="K23" s="1" t="s">
        <v>62</v>
      </c>
      <c r="L23" s="358">
        <f ca="1">N20</f>
        <v>3</v>
      </c>
      <c r="M23" s="358"/>
      <c r="N23" s="1" t="s">
        <v>64</v>
      </c>
      <c r="O23" s="1" t="s">
        <v>63</v>
      </c>
      <c r="P23" s="358">
        <f ca="1">SUM('病休等 TEMP'!C12:C14)</f>
        <v>38</v>
      </c>
      <c r="Q23" s="358"/>
      <c r="R23" s="1" t="s">
        <v>64</v>
      </c>
    </row>
    <row r="24" spans="2:22" ht="18" customHeight="1" thickBot="1" x14ac:dyDescent="0.2">
      <c r="E24" s="50" t="s">
        <v>65</v>
      </c>
      <c r="F24" s="50" t="str">
        <f ca="1">'病休等 TEMP'!C15</f>
        <v>３０日を超えるので除算する</v>
      </c>
      <c r="G24" s="50"/>
      <c r="H24" s="50"/>
      <c r="I24" s="50"/>
      <c r="J24" s="50"/>
      <c r="K24" s="50"/>
      <c r="L24" s="50"/>
      <c r="M24" s="50"/>
      <c r="N24" s="50"/>
      <c r="O24" s="50"/>
    </row>
    <row r="25" spans="2:22" ht="13.5" customHeight="1" x14ac:dyDescent="0.15"/>
    <row r="26" spans="2:22" ht="17.25" customHeight="1" x14ac:dyDescent="0.15">
      <c r="B26" s="1" t="s">
        <v>66</v>
      </c>
    </row>
    <row r="27" spans="2:22" ht="9" customHeight="1" x14ac:dyDescent="0.15"/>
    <row r="28" spans="2:22" ht="18" customHeight="1" x14ac:dyDescent="0.15">
      <c r="C28" s="1" t="s">
        <v>67</v>
      </c>
      <c r="D28" s="357" t="str">
        <f ca="1">IF(OR('病休・介休 入力'!C8="",T28=0),"平成  年  月  日",IF('病休・介休 入力'!$B$2=6,'病休等 TEMP'!H17,'病休等 TEMP'!J17))</f>
        <v>平成  年  月  日</v>
      </c>
      <c r="E28" s="357"/>
      <c r="F28" s="357"/>
      <c r="G28" s="357"/>
      <c r="H28" s="357"/>
      <c r="I28" s="357"/>
      <c r="J28" s="357"/>
      <c r="K28" s="7" t="s">
        <v>25</v>
      </c>
      <c r="L28" s="357" t="str">
        <f ca="1">IF(OR('病休・介休 入力'!E8="",T28=0),"平成　年　月　日",IF('病休・介休 入力'!$B$2=6,'病休等 TEMP'!I17,'病休等 TEMP'!K17))</f>
        <v>平成　年　月　日</v>
      </c>
      <c r="M28" s="357"/>
      <c r="N28" s="357"/>
      <c r="O28" s="357"/>
      <c r="P28" s="357"/>
      <c r="Q28" s="357"/>
      <c r="R28" s="357"/>
      <c r="T28" s="358">
        <f ca="1">'病休等 TEMP'!C17</f>
        <v>0</v>
      </c>
      <c r="U28" s="358"/>
      <c r="V28" s="1" t="s">
        <v>70</v>
      </c>
    </row>
    <row r="29" spans="2:22" ht="18" customHeight="1" x14ac:dyDescent="0.15">
      <c r="D29" s="357">
        <f ca="1">IF(OR('病休・介休 入力'!C8="",T29=0),"平成  年  月  日",IF('病休・介休 入力'!$B$2=6,'病休等 TEMP'!H20,'病休等 TEMP'!J20))</f>
        <v>42562</v>
      </c>
      <c r="E29" s="357"/>
      <c r="F29" s="357"/>
      <c r="G29" s="357"/>
      <c r="H29" s="357"/>
      <c r="I29" s="357"/>
      <c r="J29" s="357"/>
      <c r="K29" s="7" t="s">
        <v>25</v>
      </c>
      <c r="L29" s="357">
        <f ca="1">IF(OR('病休・介休 入力'!E8="",T29=0),"平成　年　月　日",IF('病休・介休 入力'!$B$2=6,'病休等 TEMP'!I20,'病休等 TEMP'!K20))</f>
        <v>42570</v>
      </c>
      <c r="M29" s="357"/>
      <c r="N29" s="357"/>
      <c r="O29" s="357"/>
      <c r="P29" s="357"/>
      <c r="Q29" s="357"/>
      <c r="R29" s="357"/>
      <c r="T29" s="358">
        <f ca="1">'病休等 TEMP'!C20</f>
        <v>9</v>
      </c>
      <c r="U29" s="358"/>
      <c r="V29" s="1" t="s">
        <v>64</v>
      </c>
    </row>
    <row r="30" spans="2:22" ht="18" customHeight="1" x14ac:dyDescent="0.15">
      <c r="E30" s="358">
        <f ca="1">T29</f>
        <v>9</v>
      </c>
      <c r="F30" s="358"/>
      <c r="G30" s="32" t="s">
        <v>64</v>
      </c>
      <c r="H30" s="1" t="s">
        <v>71</v>
      </c>
      <c r="I30" s="358">
        <f ca="1">E30-M30</f>
        <v>3</v>
      </c>
      <c r="J30" s="358"/>
      <c r="K30" s="1" t="s">
        <v>72</v>
      </c>
      <c r="L30" s="1" t="s">
        <v>73</v>
      </c>
      <c r="M30" s="358">
        <f ca="1">IF(T29=0,0,'病休等 TEMP'!C23)</f>
        <v>6</v>
      </c>
      <c r="N30" s="358"/>
      <c r="O30" s="1" t="s">
        <v>72</v>
      </c>
    </row>
    <row r="31" spans="2:22" ht="18" customHeight="1" thickBot="1" x14ac:dyDescent="0.2">
      <c r="D31" s="50" t="str">
        <f ca="1">"除算期間は　"&amp;T28&amp;" 月　"&amp;M30&amp;" 日"</f>
        <v>除算期間は　0 月　6 日</v>
      </c>
      <c r="E31" s="50"/>
      <c r="F31" s="50"/>
      <c r="G31" s="50"/>
      <c r="H31" s="50"/>
      <c r="I31" s="50"/>
      <c r="J31" s="50"/>
      <c r="K31" s="50"/>
    </row>
    <row r="32" spans="2:22" s="35" customFormat="1" ht="4.5" customHeight="1" x14ac:dyDescent="0.15"/>
    <row r="33" spans="2:30" ht="18" customHeight="1" x14ac:dyDescent="0.15">
      <c r="C33" s="1" t="s">
        <v>74</v>
      </c>
      <c r="D33" s="357">
        <f ca="1">IF(OR('病休・介休 入力'!C9="",T33=0),"平成  年  月  日",IF('病休・介休 入力'!$B$2=6,'病休等 TEMP'!H18,'病休等 TEMP'!J18))</f>
        <v>42586</v>
      </c>
      <c r="E33" s="357"/>
      <c r="F33" s="357"/>
      <c r="G33" s="357"/>
      <c r="H33" s="357"/>
      <c r="I33" s="357"/>
      <c r="J33" s="357"/>
      <c r="K33" s="31" t="s">
        <v>25</v>
      </c>
      <c r="L33" s="357">
        <f ca="1">IF(OR('病休・介休 入力'!E9="",T33=0),"平成　年　月　日",IF('病休・介休 入力'!$B$2=6,'病休等 TEMP'!I18,'病休等 TEMP'!K18))</f>
        <v>42616</v>
      </c>
      <c r="M33" s="357"/>
      <c r="N33" s="357"/>
      <c r="O33" s="357"/>
      <c r="P33" s="357"/>
      <c r="Q33" s="357"/>
      <c r="R33" s="357"/>
      <c r="S33" s="32"/>
      <c r="T33" s="358">
        <f ca="1">'病休等 TEMP'!C18</f>
        <v>1</v>
      </c>
      <c r="U33" s="358"/>
      <c r="V33" s="32" t="s">
        <v>70</v>
      </c>
    </row>
    <row r="34" spans="2:30" ht="18" customHeight="1" x14ac:dyDescent="0.15">
      <c r="D34" s="357">
        <f ca="1">IF(OR('病休・介休 入力'!C9="",T34=0),"平成  年  月  日",IF('病休・介休 入力'!$B$2=6,'病休等 TEMP'!H21,'病休等 TEMP'!J21))</f>
        <v>42617</v>
      </c>
      <c r="E34" s="357"/>
      <c r="F34" s="357"/>
      <c r="G34" s="357"/>
      <c r="H34" s="357"/>
      <c r="I34" s="357"/>
      <c r="J34" s="357"/>
      <c r="K34" s="31" t="s">
        <v>25</v>
      </c>
      <c r="L34" s="357">
        <f ca="1">IF(OR('病休・介休 入力'!E9="",T34=0),"平成　年　月　日",IF('病休・介休 入力'!$B$2=6,'病休等 TEMP'!I21,'病休等 TEMP'!K21))</f>
        <v>42633</v>
      </c>
      <c r="M34" s="357"/>
      <c r="N34" s="357"/>
      <c r="O34" s="357"/>
      <c r="P34" s="357"/>
      <c r="Q34" s="357"/>
      <c r="R34" s="357"/>
      <c r="S34" s="32"/>
      <c r="T34" s="358">
        <f ca="1">'病休等 TEMP'!C21</f>
        <v>17</v>
      </c>
      <c r="U34" s="358"/>
      <c r="V34" s="32" t="s">
        <v>64</v>
      </c>
    </row>
    <row r="35" spans="2:30" ht="18" customHeight="1" x14ac:dyDescent="0.15">
      <c r="D35" s="32"/>
      <c r="E35" s="358">
        <f ca="1">T34</f>
        <v>17</v>
      </c>
      <c r="F35" s="358"/>
      <c r="G35" s="32" t="s">
        <v>64</v>
      </c>
      <c r="H35" s="32" t="s">
        <v>71</v>
      </c>
      <c r="I35" s="358">
        <f ca="1">E35-M35</f>
        <v>6</v>
      </c>
      <c r="J35" s="358"/>
      <c r="K35" s="32" t="s">
        <v>72</v>
      </c>
      <c r="L35" s="32" t="s">
        <v>73</v>
      </c>
      <c r="M35" s="358">
        <f ca="1">IF(T34=0,0,'病休等 TEMP'!C24)</f>
        <v>11</v>
      </c>
      <c r="N35" s="358"/>
      <c r="O35" s="32" t="s">
        <v>72</v>
      </c>
      <c r="P35" s="32"/>
      <c r="Q35" s="32"/>
      <c r="R35" s="32"/>
      <c r="S35" s="32"/>
      <c r="T35" s="32"/>
      <c r="U35" s="32"/>
      <c r="V35" s="32"/>
    </row>
    <row r="36" spans="2:30" ht="18" customHeight="1" thickBot="1" x14ac:dyDescent="0.2">
      <c r="D36" s="50" t="str">
        <f ca="1">"除算期間は　"&amp;T33&amp;" 月　"&amp;M35&amp;" 日"</f>
        <v>除算期間は　1 月　11 日</v>
      </c>
      <c r="E36" s="50"/>
      <c r="F36" s="50"/>
      <c r="G36" s="50"/>
      <c r="H36" s="50"/>
      <c r="I36" s="50"/>
      <c r="J36" s="50"/>
      <c r="K36" s="50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</row>
    <row r="37" spans="2:30" s="35" customFormat="1" ht="4.5" customHeight="1" x14ac:dyDescent="0.15"/>
    <row r="38" spans="2:30" ht="18" customHeight="1" x14ac:dyDescent="0.15">
      <c r="C38" s="1" t="s">
        <v>75</v>
      </c>
      <c r="D38" s="357" t="str">
        <f ca="1">IF(OR('病休・介休 入力'!C10="",T38=0),"平成  年  月  日",IF('病休・介休 入力'!$B$2=6,'病休等 TEMP'!H19,'病休等 TEMP'!J19))</f>
        <v>平成  年  月  日</v>
      </c>
      <c r="E38" s="357"/>
      <c r="F38" s="357"/>
      <c r="G38" s="357"/>
      <c r="H38" s="357"/>
      <c r="I38" s="357"/>
      <c r="J38" s="357"/>
      <c r="K38" s="31" t="s">
        <v>25</v>
      </c>
      <c r="L38" s="357" t="str">
        <f ca="1">IF(OR('病休・介休 入力'!E10="",T38=0),"平成　年　月　日",IF('病休・介休 入力'!$B$2=6,'病休等 TEMP'!I19,'病休等 TEMP'!K19))</f>
        <v>平成　年　月　日</v>
      </c>
      <c r="M38" s="357"/>
      <c r="N38" s="357"/>
      <c r="O38" s="357"/>
      <c r="P38" s="357"/>
      <c r="Q38" s="357"/>
      <c r="R38" s="357"/>
      <c r="S38" s="32"/>
      <c r="T38" s="358">
        <f ca="1">'病休等 TEMP'!C19</f>
        <v>0</v>
      </c>
      <c r="U38" s="358"/>
      <c r="V38" s="32" t="s">
        <v>70</v>
      </c>
    </row>
    <row r="39" spans="2:30" ht="18" customHeight="1" x14ac:dyDescent="0.15">
      <c r="D39" s="357" t="str">
        <f ca="1">IF(OR('病休・介休 入力'!C10="",T39=0),"平成  年  月  日",IF('病休・介休 入力'!$B$2=6,'病休等 TEMP'!H22,'病休等 TEMP'!J22))</f>
        <v>平成  年  月  日</v>
      </c>
      <c r="E39" s="357"/>
      <c r="F39" s="357"/>
      <c r="G39" s="357"/>
      <c r="H39" s="357"/>
      <c r="I39" s="357"/>
      <c r="J39" s="357"/>
      <c r="K39" s="31" t="s">
        <v>25</v>
      </c>
      <c r="L39" s="357" t="str">
        <f>IF('病休・介休 入力'!E10="","平成　年　月　日",IF('病休・介休 入力'!$B$2=6,'病休等 TEMP'!I22,'病休等 TEMP'!K22))</f>
        <v>平成　年　月　日</v>
      </c>
      <c r="M39" s="357"/>
      <c r="N39" s="357"/>
      <c r="O39" s="357"/>
      <c r="P39" s="357"/>
      <c r="Q39" s="357"/>
      <c r="R39" s="357"/>
      <c r="S39" s="32"/>
      <c r="T39" s="358">
        <f ca="1">'病休等 TEMP'!C22</f>
        <v>0</v>
      </c>
      <c r="U39" s="358"/>
      <c r="V39" s="32" t="s">
        <v>64</v>
      </c>
    </row>
    <row r="40" spans="2:30" ht="18" customHeight="1" x14ac:dyDescent="0.15">
      <c r="D40" s="32"/>
      <c r="E40" s="358">
        <f ca="1">T39</f>
        <v>0</v>
      </c>
      <c r="F40" s="358"/>
      <c r="G40" s="32" t="s">
        <v>64</v>
      </c>
      <c r="H40" s="32" t="s">
        <v>71</v>
      </c>
      <c r="I40" s="358">
        <f ca="1">E40-M40</f>
        <v>0</v>
      </c>
      <c r="J40" s="358"/>
      <c r="K40" s="32" t="s">
        <v>72</v>
      </c>
      <c r="L40" s="32" t="s">
        <v>73</v>
      </c>
      <c r="M40" s="358">
        <f ca="1">IF(T39=0,0,'病休等 TEMP'!C25)</f>
        <v>0</v>
      </c>
      <c r="N40" s="358"/>
      <c r="O40" s="32" t="s">
        <v>72</v>
      </c>
      <c r="P40" s="32"/>
      <c r="Q40" s="32"/>
      <c r="R40" s="32"/>
      <c r="S40" s="32"/>
      <c r="T40" s="32"/>
      <c r="U40" s="32"/>
      <c r="V40" s="32"/>
    </row>
    <row r="41" spans="2:30" ht="18" customHeight="1" thickBot="1" x14ac:dyDescent="0.2">
      <c r="D41" s="50" t="str">
        <f ca="1">"除算期間は　"&amp;T38&amp;" 月　"&amp;M40&amp;" 日"</f>
        <v>除算期間は　0 月　0 日</v>
      </c>
      <c r="E41" s="50"/>
      <c r="F41" s="50"/>
      <c r="G41" s="50"/>
      <c r="H41" s="50"/>
      <c r="I41" s="50"/>
      <c r="J41" s="50"/>
      <c r="K41" s="50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</row>
    <row r="42" spans="2:30" s="32" customFormat="1" ht="4.5" customHeight="1" x14ac:dyDescent="0.15">
      <c r="E42" s="34"/>
      <c r="F42" s="34"/>
      <c r="G42" s="34"/>
      <c r="H42" s="34"/>
      <c r="I42" s="34"/>
      <c r="J42" s="34"/>
      <c r="K42" s="34"/>
      <c r="L42" s="31"/>
      <c r="M42" s="34"/>
      <c r="N42" s="34"/>
      <c r="O42" s="34"/>
      <c r="P42" s="34"/>
      <c r="Q42" s="34"/>
      <c r="R42" s="34"/>
      <c r="S42" s="34"/>
    </row>
    <row r="43" spans="2:30" ht="18" customHeight="1" x14ac:dyDescent="0.15">
      <c r="C43" s="1" t="s">
        <v>132</v>
      </c>
      <c r="F43" s="32"/>
      <c r="G43" s="33">
        <v>6</v>
      </c>
      <c r="H43" s="33" t="s">
        <v>77</v>
      </c>
      <c r="I43" s="1" t="s">
        <v>71</v>
      </c>
      <c r="J43" s="33">
        <f ca="1">SUM('病休等 TEMP'!C17:C19,'病休等 TEMP'!E26)</f>
        <v>1</v>
      </c>
      <c r="K43" s="1" t="s">
        <v>77</v>
      </c>
      <c r="L43" s="1">
        <f ca="1">'病休等 TEMP'!E27</f>
        <v>17</v>
      </c>
      <c r="M43" s="1" t="s">
        <v>72</v>
      </c>
      <c r="N43" s="1" t="s">
        <v>73</v>
      </c>
      <c r="O43" s="1">
        <f ca="1">'病休等 TEMP'!C26</f>
        <v>4</v>
      </c>
      <c r="P43" s="1" t="s">
        <v>77</v>
      </c>
      <c r="Q43" s="1">
        <f ca="1">'病休等 TEMP'!C27</f>
        <v>13</v>
      </c>
      <c r="R43" s="1" t="s">
        <v>72</v>
      </c>
    </row>
    <row r="44" spans="2:30" ht="13.5" customHeight="1" x14ac:dyDescent="0.15"/>
    <row r="45" spans="2:30" ht="18" customHeight="1" x14ac:dyDescent="0.15">
      <c r="B45" s="1" t="s">
        <v>80</v>
      </c>
    </row>
    <row r="46" spans="2:30" ht="9" customHeight="1" x14ac:dyDescent="0.15"/>
    <row r="47" spans="2:30" ht="18" customHeight="1" x14ac:dyDescent="0.15">
      <c r="C47" s="357" t="str">
        <f>IF('病休・介休 入力'!C11="","平成  年  月  日",'病休・介休 入力'!C11)</f>
        <v>平成  年  月  日</v>
      </c>
      <c r="D47" s="357"/>
      <c r="E47" s="357"/>
      <c r="F47" s="357"/>
      <c r="G47" s="357"/>
      <c r="H47" s="357"/>
      <c r="I47" s="357"/>
      <c r="J47" s="38" t="s">
        <v>25</v>
      </c>
      <c r="K47" s="357" t="str">
        <f>IF('病休・介休 入力'!E11="","平成　年　月　日",'病休・介休 入力'!E11)</f>
        <v>平成　年　月　日</v>
      </c>
      <c r="L47" s="357"/>
      <c r="M47" s="357"/>
      <c r="N47" s="357"/>
      <c r="O47" s="357"/>
      <c r="P47" s="357"/>
      <c r="Q47" s="357"/>
      <c r="S47" s="359" t="str">
        <f ca="1">IF('病休・介休 入力'!E11&gt;'病休・介休 入力'!Y10,"勤勉手当支給対象外（総原資に含まない）","")</f>
        <v/>
      </c>
      <c r="T47" s="359"/>
      <c r="U47" s="359"/>
      <c r="V47" s="359"/>
      <c r="W47" s="359"/>
      <c r="X47" s="359"/>
      <c r="Y47" s="359"/>
      <c r="Z47" s="359"/>
      <c r="AA47" s="359"/>
      <c r="AB47" s="359"/>
      <c r="AC47" s="359"/>
      <c r="AD47" s="359"/>
    </row>
    <row r="48" spans="2:30" s="36" customFormat="1" ht="4.5" customHeight="1" x14ac:dyDescent="0.15"/>
    <row r="49" spans="2:28" s="36" customFormat="1" ht="18" customHeight="1" x14ac:dyDescent="0.15">
      <c r="C49" s="36" t="s">
        <v>83</v>
      </c>
    </row>
    <row r="50" spans="2:28" s="36" customFormat="1" ht="18" customHeight="1" x14ac:dyDescent="0.15">
      <c r="D50" s="357" t="str">
        <f ca="1">IF(OR('病休・介休 入力'!C11="",T50=0),"平成  年  月  日",IF('病休・介休 入力'!$B$2=6,'病休等 TEMP'!H30,'病休等 TEMP'!J30))</f>
        <v>平成  年  月  日</v>
      </c>
      <c r="E50" s="357"/>
      <c r="F50" s="357"/>
      <c r="G50" s="357"/>
      <c r="H50" s="357"/>
      <c r="I50" s="357"/>
      <c r="J50" s="357"/>
      <c r="K50" s="38" t="s">
        <v>25</v>
      </c>
      <c r="L50" s="357" t="str">
        <f ca="1">IF(OR('病休・介休 入力'!E11="",T50=0),"平成　年　月　日",IF('病休・介休 入力'!$B$2=6,'病休等 TEMP'!I30,'病休等 TEMP'!K30))</f>
        <v>平成　年　月　日</v>
      </c>
      <c r="M50" s="357"/>
      <c r="N50" s="357"/>
      <c r="O50" s="357"/>
      <c r="P50" s="357"/>
      <c r="Q50" s="357"/>
      <c r="R50" s="357"/>
      <c r="T50" s="358">
        <f ca="1">'病休等 TEMP'!C30</f>
        <v>0</v>
      </c>
      <c r="U50" s="358"/>
      <c r="V50" s="36" t="s">
        <v>70</v>
      </c>
    </row>
    <row r="51" spans="2:28" s="36" customFormat="1" ht="18" customHeight="1" x14ac:dyDescent="0.15">
      <c r="D51" s="357" t="str">
        <f ca="1">IF(OR('病休・介休 入力'!C11="",T51=0),"平成  年  月  日",IF('病休・介休 入力'!$B$2=6,'病休等 TEMP'!H31,'病休等 TEMP'!J31))</f>
        <v>平成  年  月  日</v>
      </c>
      <c r="E51" s="357"/>
      <c r="F51" s="357"/>
      <c r="G51" s="357"/>
      <c r="H51" s="357"/>
      <c r="I51" s="357"/>
      <c r="J51" s="357"/>
      <c r="K51" s="38" t="s">
        <v>25</v>
      </c>
      <c r="L51" s="357" t="str">
        <f ca="1">IF(OR('病休・介休 入力'!E11="",'病休・介休 入力'!E11&gt;'病休・介休 入力'!Y10,T51=0),"平成　年　月　日",IF('病休・介休 入力'!$B$2=6,'病休等 TEMP'!I31,'病休等 TEMP'!K31))</f>
        <v>平成　年　月　日</v>
      </c>
      <c r="M51" s="357"/>
      <c r="N51" s="357"/>
      <c r="O51" s="357"/>
      <c r="P51" s="357"/>
      <c r="Q51" s="357"/>
      <c r="R51" s="357"/>
      <c r="T51" s="358">
        <f ca="1">'病休等 TEMP'!C31</f>
        <v>0</v>
      </c>
      <c r="U51" s="358"/>
      <c r="V51" s="36" t="s">
        <v>64</v>
      </c>
    </row>
    <row r="52" spans="2:28" s="36" customFormat="1" ht="18" customHeight="1" thickBot="1" x14ac:dyDescent="0.2">
      <c r="D52" s="50" t="str">
        <f ca="1">"除算期間は　"&amp;T50&amp;" 月　"&amp;T51&amp;" 日"</f>
        <v>除算期間は　0 月　0 日</v>
      </c>
      <c r="E52" s="50"/>
      <c r="F52" s="50"/>
      <c r="G52" s="50"/>
      <c r="H52" s="50"/>
      <c r="I52" s="50"/>
      <c r="J52" s="50"/>
      <c r="K52" s="50"/>
    </row>
    <row r="53" spans="2:28" s="36" customFormat="1" ht="4.5" customHeight="1" x14ac:dyDescent="0.15">
      <c r="E53" s="37"/>
      <c r="F53" s="37"/>
      <c r="G53" s="37"/>
      <c r="H53" s="37"/>
      <c r="I53" s="37"/>
      <c r="J53" s="37"/>
      <c r="K53" s="37"/>
      <c r="L53" s="38"/>
      <c r="M53" s="37"/>
      <c r="N53" s="37"/>
      <c r="O53" s="37"/>
      <c r="P53" s="37"/>
      <c r="Q53" s="37"/>
      <c r="R53" s="37"/>
      <c r="S53" s="37"/>
    </row>
    <row r="54" spans="2:28" s="36" customFormat="1" ht="18" customHeight="1" x14ac:dyDescent="0.15">
      <c r="C54" s="36" t="s">
        <v>132</v>
      </c>
      <c r="G54" s="33">
        <v>6</v>
      </c>
      <c r="H54" s="33" t="s">
        <v>70</v>
      </c>
      <c r="I54" s="36" t="s">
        <v>62</v>
      </c>
      <c r="J54" s="33">
        <f ca="1">T50</f>
        <v>0</v>
      </c>
      <c r="K54" s="36" t="s">
        <v>70</v>
      </c>
      <c r="L54" s="36">
        <f ca="1">T51</f>
        <v>0</v>
      </c>
      <c r="M54" s="36" t="s">
        <v>64</v>
      </c>
      <c r="N54" s="36" t="s">
        <v>63</v>
      </c>
      <c r="O54" s="36">
        <f ca="1">'病休等 TEMP'!C32</f>
        <v>0</v>
      </c>
      <c r="P54" s="36" t="s">
        <v>70</v>
      </c>
      <c r="Q54" s="36">
        <f ca="1">'病休等 TEMP'!C33</f>
        <v>0</v>
      </c>
      <c r="R54" s="36" t="s">
        <v>64</v>
      </c>
    </row>
    <row r="55" spans="2:28" ht="13.5" customHeight="1" x14ac:dyDescent="0.15"/>
    <row r="56" spans="2:28" ht="18" customHeight="1" x14ac:dyDescent="0.15">
      <c r="B56" s="1" t="s">
        <v>140</v>
      </c>
    </row>
    <row r="57" spans="2:28" s="36" customFormat="1" ht="9" customHeight="1" x14ac:dyDescent="0.15"/>
    <row r="58" spans="2:28" s="36" customFormat="1" ht="18" customHeight="1" thickBot="1" x14ac:dyDescent="0.2">
      <c r="C58" s="49" t="s">
        <v>132</v>
      </c>
      <c r="D58" s="49"/>
      <c r="E58" s="49"/>
      <c r="F58" s="49"/>
      <c r="G58" s="49">
        <f ca="1">'病休等 TEMP'!C37</f>
        <v>4</v>
      </c>
      <c r="H58" s="49" t="s">
        <v>98</v>
      </c>
      <c r="I58" s="49">
        <f ca="1">'病休等 TEMP'!C38</f>
        <v>13</v>
      </c>
      <c r="J58" s="49" t="s">
        <v>99</v>
      </c>
      <c r="K58" s="49"/>
      <c r="L58" s="49" t="str">
        <f ca="1">期間率!C18</f>
        <v>４ヶ月以上４ヶ月１５日未満</v>
      </c>
      <c r="M58" s="49"/>
      <c r="N58" s="49"/>
      <c r="O58" s="49"/>
      <c r="P58" s="49"/>
      <c r="Q58" s="49"/>
      <c r="R58" s="49"/>
      <c r="S58" s="49"/>
      <c r="T58" s="49"/>
      <c r="U58" s="49" t="s">
        <v>100</v>
      </c>
      <c r="V58" s="49"/>
      <c r="W58" s="49"/>
      <c r="X58" s="49"/>
      <c r="Y58" s="49"/>
      <c r="Z58" s="49">
        <f ca="1">期間率!D18</f>
        <v>70</v>
      </c>
      <c r="AA58" s="49"/>
      <c r="AB58" s="49"/>
    </row>
    <row r="59" spans="2:28" s="36" customFormat="1" ht="13.5" customHeight="1" thickTop="1" x14ac:dyDescent="0.15"/>
    <row r="60" spans="2:28" s="36" customFormat="1" ht="18" customHeight="1" x14ac:dyDescent="0.15">
      <c r="B60" s="36" t="s">
        <v>97</v>
      </c>
    </row>
  </sheetData>
  <mergeCells count="54">
    <mergeCell ref="D28:J28"/>
    <mergeCell ref="L28:R28"/>
    <mergeCell ref="T28:U28"/>
    <mergeCell ref="D29:J29"/>
    <mergeCell ref="L29:R29"/>
    <mergeCell ref="T29:U29"/>
    <mergeCell ref="P23:Q23"/>
    <mergeCell ref="E13:K13"/>
    <mergeCell ref="E14:K14"/>
    <mergeCell ref="M12:S12"/>
    <mergeCell ref="M13:S13"/>
    <mergeCell ref="M14:S14"/>
    <mergeCell ref="N16:O16"/>
    <mergeCell ref="N18:O18"/>
    <mergeCell ref="N20:O20"/>
    <mergeCell ref="D23:E23"/>
    <mergeCell ref="H23:I23"/>
    <mergeCell ref="L23:M23"/>
    <mergeCell ref="Z4:AD4"/>
    <mergeCell ref="Z5:AD5"/>
    <mergeCell ref="E12:K12"/>
    <mergeCell ref="B2:AD2"/>
    <mergeCell ref="V4:Y4"/>
    <mergeCell ref="V5:Y5"/>
    <mergeCell ref="E30:F30"/>
    <mergeCell ref="I30:J30"/>
    <mergeCell ref="M30:N30"/>
    <mergeCell ref="D33:J33"/>
    <mergeCell ref="L33:R33"/>
    <mergeCell ref="T38:U38"/>
    <mergeCell ref="D39:J39"/>
    <mergeCell ref="L39:R39"/>
    <mergeCell ref="T39:U39"/>
    <mergeCell ref="T33:U33"/>
    <mergeCell ref="D34:J34"/>
    <mergeCell ref="L34:R34"/>
    <mergeCell ref="T34:U34"/>
    <mergeCell ref="E35:F35"/>
    <mergeCell ref="I35:J35"/>
    <mergeCell ref="M35:N35"/>
    <mergeCell ref="E40:F40"/>
    <mergeCell ref="I40:J40"/>
    <mergeCell ref="M40:N40"/>
    <mergeCell ref="D38:J38"/>
    <mergeCell ref="L38:R38"/>
    <mergeCell ref="D51:J51"/>
    <mergeCell ref="L51:R51"/>
    <mergeCell ref="T51:U51"/>
    <mergeCell ref="C47:I47"/>
    <mergeCell ref="K47:Q47"/>
    <mergeCell ref="D50:J50"/>
    <mergeCell ref="L50:R50"/>
    <mergeCell ref="T50:U50"/>
    <mergeCell ref="S47:AD47"/>
  </mergeCells>
  <phoneticPr fontId="2"/>
  <printOptions horizontalCentered="1" verticalCentered="1"/>
  <pageMargins left="1.1811023622047245" right="0.39370078740157483" top="0.39370078740157483" bottom="0.39370078740157483" header="0" footer="0"/>
  <pageSetup paperSize="9" scale="99" orientation="portrait" errors="blank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/>
  </sheetPr>
  <dimension ref="B2:K38"/>
  <sheetViews>
    <sheetView topLeftCell="B1" workbookViewId="0">
      <selection activeCell="E23" sqref="E23"/>
    </sheetView>
  </sheetViews>
  <sheetFormatPr defaultRowHeight="13.5" x14ac:dyDescent="0.15"/>
  <cols>
    <col min="1" max="1" width="2.25" customWidth="1"/>
    <col min="2" max="2" width="27.75" bestFit="1" customWidth="1"/>
    <col min="4" max="4" width="9" customWidth="1"/>
    <col min="5" max="5" width="10.5" bestFit="1" customWidth="1"/>
    <col min="6" max="6" width="9" customWidth="1"/>
    <col min="8" max="8" width="11.625" bestFit="1" customWidth="1"/>
    <col min="9" max="9" width="10.5" bestFit="1" customWidth="1"/>
    <col min="10" max="10" width="11.625" bestFit="1" customWidth="1"/>
    <col min="11" max="11" width="11" customWidth="1"/>
  </cols>
  <sheetData>
    <row r="2" spans="2:7" x14ac:dyDescent="0.15">
      <c r="D2" s="23" t="s">
        <v>44</v>
      </c>
      <c r="E2" s="23" t="s">
        <v>45</v>
      </c>
      <c r="F2" s="23"/>
    </row>
    <row r="3" spans="2:7" x14ac:dyDescent="0.15">
      <c r="B3" t="s">
        <v>26</v>
      </c>
      <c r="C3">
        <f ca="1">IF('病休・介休 入力'!$B$2=6,F3,G3)</f>
        <v>9</v>
      </c>
      <c r="D3">
        <f ca="1">IF(OR('病休・介休 入力'!$C$8="",'病休・介休 入力'!$E$8=""),0,'病休・介休 入力'!P7-'病休・介休 入力'!O7+1)</f>
        <v>-39</v>
      </c>
      <c r="E3">
        <f ca="1">IF(OR('病休・介休 入力'!$C$8="",'病休・介休 入力'!$E$8=""),0,'病休・介休 入力'!AA7-'病休・介休 入力'!Z7+1)</f>
        <v>9</v>
      </c>
      <c r="F3">
        <f ca="1">IF(D3&lt;0,0,D3)</f>
        <v>0</v>
      </c>
      <c r="G3">
        <f ca="1">IF(E3&lt;0,0,E3)</f>
        <v>9</v>
      </c>
    </row>
    <row r="4" spans="2:7" x14ac:dyDescent="0.15">
      <c r="B4" t="s">
        <v>27</v>
      </c>
      <c r="C4">
        <f ca="1">IF('病休・介休 入力'!$B$2=6,F4,G4)</f>
        <v>48</v>
      </c>
      <c r="D4">
        <f ca="1">IF(OR('病休・介休 入力'!$C$9="",'病休・介休 入力'!$E$9=""),0,'病休・介休 入力'!P8-'病休・介休 入力'!O8+1)</f>
        <v>-63</v>
      </c>
      <c r="E4">
        <f ca="1">IF(OR('病休・介休 入力'!$C9="",'病休・介休 入力'!$E9=""),0,'病休・介休 入力'!AA8-'病休・介休 入力'!Z8+1)</f>
        <v>48</v>
      </c>
      <c r="F4">
        <f t="shared" ref="F4:F5" ca="1" si="0">IF(D4&lt;0,0,D4)</f>
        <v>0</v>
      </c>
      <c r="G4">
        <f t="shared" ref="G4:G5" ca="1" si="1">IF(E4&lt;0,0,E4)</f>
        <v>48</v>
      </c>
    </row>
    <row r="5" spans="2:7" x14ac:dyDescent="0.15">
      <c r="B5" t="s">
        <v>28</v>
      </c>
      <c r="C5">
        <f>IF('病休・介休 入力'!$B$2=6,F5,G5)</f>
        <v>0</v>
      </c>
      <c r="D5">
        <f>IF(OR('病休・介休 入力'!$C$10="",'病休・介休 入力'!$E$10=""),0,'病休・介休 入力'!P9-'病休・介休 入力'!O9+1)</f>
        <v>0</v>
      </c>
      <c r="E5">
        <f>IF(OR('病休・介休 入力'!$C10="",'病休・介休 入力'!$E10=""),0,'病休・介休 入力'!AA9-'病休・介休 入力'!Z9+1)</f>
        <v>0</v>
      </c>
      <c r="F5">
        <f t="shared" si="0"/>
        <v>0</v>
      </c>
      <c r="G5">
        <f t="shared" si="1"/>
        <v>0</v>
      </c>
    </row>
    <row r="6" spans="2:7" x14ac:dyDescent="0.15">
      <c r="B6" t="s">
        <v>29</v>
      </c>
      <c r="C6">
        <f ca="1">IF('病休・介休 入力'!$B$2=6,D6,E6)</f>
        <v>2</v>
      </c>
      <c r="D6">
        <f ca="1">COUNT(INDEX(0/(WEEKDAY('病休・介休 入力'!O7+ROW(INDIRECT("1:"&amp;'病休・介休 入力'!P7-'病休・介休 入力'!O7+1))-1,2)&gt;5),))</f>
        <v>0</v>
      </c>
      <c r="E6">
        <f ca="1">COUNT(INDEX(0/(WEEKDAY('病休・介休 入力'!Z7+ROW(INDIRECT("1:"&amp;'病休・介休 入力'!AA7-'病休・介休 入力'!Z7+1))-1,2)&gt;5),))</f>
        <v>2</v>
      </c>
    </row>
    <row r="7" spans="2:7" x14ac:dyDescent="0.15">
      <c r="B7" t="s">
        <v>30</v>
      </c>
      <c r="C7">
        <f ca="1">IF('病休・介休 入力'!$B$2=6,D7,E7)</f>
        <v>14</v>
      </c>
      <c r="D7">
        <f ca="1">COUNT(INDEX(0/(WEEKDAY('病休・介休 入力'!O8+ROW(INDIRECT("1:"&amp;'病休・介休 入力'!P8-'病休・介休 入力'!O8+1))-1,2)&gt;5),))</f>
        <v>0</v>
      </c>
      <c r="E7">
        <f ca="1">COUNT(INDEX(0/(WEEKDAY('病休・介休 入力'!Z8+ROW(INDIRECT("1:"&amp;'病休・介休 入力'!AA8-'病休・介休 入力'!Z8+1))-1,2)&gt;5),))</f>
        <v>14</v>
      </c>
    </row>
    <row r="8" spans="2:7" x14ac:dyDescent="0.15">
      <c r="B8" t="s">
        <v>31</v>
      </c>
      <c r="C8">
        <f ca="1">IF('病休・介休 入力'!$B$2=6,D8,E8)</f>
        <v>0</v>
      </c>
      <c r="D8">
        <f ca="1">COUNT(INDEX(0/(WEEKDAY('病休・介休 入力'!O9+ROW(INDIRECT("1:"&amp;'病休・介休 入力'!P9-'病休・介休 入力'!O9+1))-1,2)&gt;5),))</f>
        <v>0</v>
      </c>
      <c r="E8">
        <f ca="1">COUNT(INDEX(0/(WEEKDAY('病休・介休 入力'!Z9+ROW(INDIRECT("1:"&amp;'病休・介休 入力'!AA9-'病休・介休 入力'!Z9+1))-1,2)&gt;5),))</f>
        <v>0</v>
      </c>
    </row>
    <row r="9" spans="2:7" x14ac:dyDescent="0.15">
      <c r="B9" t="s">
        <v>35</v>
      </c>
      <c r="C9">
        <f ca="1">IF('病休・介休 入力'!$B$2=6,D9,E9)</f>
        <v>1</v>
      </c>
      <c r="D9">
        <f ca="1">SUMPRODUCT((祝日表&gt;='病休・介休 入力'!O7)*(祝日表&lt;='病休・介休 入力'!P7))</f>
        <v>0</v>
      </c>
      <c r="E9">
        <f ca="1">SUMPRODUCT((祝日表&gt;='病休・介休 入力'!Z7)*(祝日表&lt;='病休・介休 入力'!AA7))</f>
        <v>1</v>
      </c>
    </row>
    <row r="10" spans="2:7" x14ac:dyDescent="0.15">
      <c r="B10" t="s">
        <v>36</v>
      </c>
      <c r="C10">
        <f ca="1">IF('病休・介休 入力'!$B$2=6,D10,E10)</f>
        <v>2</v>
      </c>
      <c r="D10">
        <f ca="1">SUMPRODUCT((祝日表&gt;='病休・介休 入力'!O8)*(祝日表&lt;='病休・介休 入力'!P8))</f>
        <v>0</v>
      </c>
      <c r="E10">
        <f ca="1">SUMPRODUCT((祝日表&gt;='病休・介休 入力'!Z8)*(祝日表&lt;='病休・介休 入力'!AA8))</f>
        <v>2</v>
      </c>
    </row>
    <row r="11" spans="2:7" x14ac:dyDescent="0.15">
      <c r="B11" t="s">
        <v>37</v>
      </c>
      <c r="C11">
        <f ca="1">IF('病休・介休 入力'!$B$2=6,D11,E11)</f>
        <v>0</v>
      </c>
      <c r="D11">
        <f ca="1">SUMPRODUCT((祝日表&gt;='病休・介休 入力'!O9)*(祝日表&lt;='病休・介休 入力'!P9))</f>
        <v>0</v>
      </c>
      <c r="E11">
        <f ca="1">SUMPRODUCT((祝日表&gt;='病休・介休 入力'!Z9)*(祝日表&lt;='病休・介休 入力'!AA9))</f>
        <v>0</v>
      </c>
    </row>
    <row r="12" spans="2:7" x14ac:dyDescent="0.15">
      <c r="B12" t="s">
        <v>32</v>
      </c>
      <c r="C12">
        <f ca="1">IF('病休・介休 入力'!$B$2=6,F12,G12)</f>
        <v>6</v>
      </c>
      <c r="D12">
        <f t="shared" ref="D12:E14" ca="1" si="2">D3-D6-D9</f>
        <v>-39</v>
      </c>
      <c r="E12">
        <f t="shared" ca="1" si="2"/>
        <v>6</v>
      </c>
      <c r="F12">
        <f t="shared" ref="F12:F14" ca="1" si="3">IF(D12&lt;0,0,D12)</f>
        <v>0</v>
      </c>
      <c r="G12">
        <f t="shared" ref="G12:G14" ca="1" si="4">IF(E12&lt;0,0,E12)</f>
        <v>6</v>
      </c>
    </row>
    <row r="13" spans="2:7" x14ac:dyDescent="0.15">
      <c r="B13" t="s">
        <v>33</v>
      </c>
      <c r="C13">
        <f ca="1">IF('病休・介休 入力'!$B$2=6,F13,G13)</f>
        <v>32</v>
      </c>
      <c r="D13">
        <f t="shared" ca="1" si="2"/>
        <v>-63</v>
      </c>
      <c r="E13">
        <f t="shared" ca="1" si="2"/>
        <v>32</v>
      </c>
      <c r="F13">
        <f t="shared" ca="1" si="3"/>
        <v>0</v>
      </c>
      <c r="G13">
        <f t="shared" ca="1" si="4"/>
        <v>32</v>
      </c>
    </row>
    <row r="14" spans="2:7" x14ac:dyDescent="0.15">
      <c r="B14" t="s">
        <v>34</v>
      </c>
      <c r="C14">
        <f ca="1">IF('病休・介休 入力'!$B$2=6,F14,G14)</f>
        <v>0</v>
      </c>
      <c r="D14">
        <f t="shared" ca="1" si="2"/>
        <v>0</v>
      </c>
      <c r="E14">
        <f t="shared" ca="1" si="2"/>
        <v>0</v>
      </c>
      <c r="F14">
        <f t="shared" ca="1" si="3"/>
        <v>0</v>
      </c>
      <c r="G14">
        <f t="shared" ca="1" si="4"/>
        <v>0</v>
      </c>
    </row>
    <row r="15" spans="2:7" x14ac:dyDescent="0.15">
      <c r="B15" t="s">
        <v>38</v>
      </c>
      <c r="C15" t="str">
        <f ca="1">IF(SUM(C12:C14)&gt;30,"３０日を超えるので除算する","３０日を超えないので除算しない")</f>
        <v>３０日を超えるので除算する</v>
      </c>
    </row>
    <row r="17" spans="2:11" x14ac:dyDescent="0.15">
      <c r="B17" t="s">
        <v>46</v>
      </c>
      <c r="C17">
        <f ca="1">IF(OR(F17=TRUE,SUM(C12:C14)&lt;=30),0,IF('病休・介休 入力'!$B$2=6,D17,E17))</f>
        <v>0</v>
      </c>
      <c r="D17" t="e">
        <f ca="1">DATEDIF('病休・介休 入力'!O7,'病休・介休 入力'!P7+1,"M")</f>
        <v>#NUM!</v>
      </c>
      <c r="E17">
        <f ca="1">DATEDIF('病休・介休 入力'!Z7,'病休・介休 入力'!AA7+1,"M")</f>
        <v>0</v>
      </c>
      <c r="F17" t="b">
        <f ca="1">IF('病休・介休 入力'!$B$2=6,ISERR(D17),ISERR(E17))</f>
        <v>0</v>
      </c>
      <c r="H17" s="25">
        <f ca="1">'病休・介休 入力'!O7</f>
        <v>42562</v>
      </c>
      <c r="I17" s="25" t="e">
        <f ca="1">DATE(YEAR(H17),MONTH(H17)+D17,DAY(H17)-1)</f>
        <v>#NUM!</v>
      </c>
      <c r="J17" s="25">
        <f ca="1">'病休・介休 入力'!Z7</f>
        <v>42562</v>
      </c>
      <c r="K17" s="25">
        <f ca="1">DATE(YEAR(J17),MONTH(J17)+E17,DAY(J17)-1)</f>
        <v>42561</v>
      </c>
    </row>
    <row r="18" spans="2:11" x14ac:dyDescent="0.15">
      <c r="B18" t="s">
        <v>47</v>
      </c>
      <c r="C18">
        <f ca="1">IF(OR(F18=TRUE,SUM(C12:C14)&lt;=30),0,IF('病休・介休 入力'!$B$2=6,D18,E18))</f>
        <v>1</v>
      </c>
      <c r="D18" t="e">
        <f ca="1">DATEDIF('病休・介休 入力'!O8,'病休・介休 入力'!P8+1,"M")</f>
        <v>#NUM!</v>
      </c>
      <c r="E18">
        <f ca="1">DATEDIF('病休・介休 入力'!Z8,'病休・介休 入力'!AA8+1,"M")</f>
        <v>1</v>
      </c>
      <c r="F18" t="b">
        <f ca="1">IF('病休・介休 入力'!$B$2=6,ISERR(D18),ISERR(E18))</f>
        <v>0</v>
      </c>
      <c r="H18" s="25">
        <f ca="1">'病休・介休 入力'!O8</f>
        <v>42586</v>
      </c>
      <c r="I18" s="25" t="e">
        <f t="shared" ref="I18:I19" ca="1" si="5">DATE(YEAR(H18),MONTH(H18)+D18,DAY(H18)-1)</f>
        <v>#NUM!</v>
      </c>
      <c r="J18" s="25">
        <f ca="1">'病休・介休 入力'!Z8</f>
        <v>42586</v>
      </c>
      <c r="K18" s="25">
        <f t="shared" ref="K18:K19" ca="1" si="6">DATE(YEAR(J18),MONTH(J18)+E18,DAY(J18)-1)</f>
        <v>42616</v>
      </c>
    </row>
    <row r="19" spans="2:11" x14ac:dyDescent="0.15">
      <c r="B19" t="s">
        <v>48</v>
      </c>
      <c r="C19">
        <f ca="1">IF(OR(F19=TRUE,SUM(C12:C14)&lt;=30),0,IF('病休・介休 入力'!$B$2=6,D19,E19))</f>
        <v>0</v>
      </c>
      <c r="D19" t="e">
        <f ca="1">DATEDIF('病休・介休 入力'!O9,'病休・介休 入力'!P9+1,"M")</f>
        <v>#NUM!</v>
      </c>
      <c r="E19" t="e">
        <f ca="1">DATEDIF('病休・介休 入力'!Z9,'病休・介休 入力'!AA9+1,"M")</f>
        <v>#NUM!</v>
      </c>
      <c r="F19" t="b">
        <f ca="1">IF('病休・介休 入力'!$B$2=6,ISERR(D19),ISERR(E19))</f>
        <v>1</v>
      </c>
      <c r="H19" s="25">
        <f ca="1">'病休・介休 入力'!O9</f>
        <v>42340</v>
      </c>
      <c r="I19" s="25" t="e">
        <f t="shared" ca="1" si="5"/>
        <v>#NUM!</v>
      </c>
      <c r="J19" s="25">
        <f ca="1">'病休・介休 入力'!Z9</f>
        <v>42523</v>
      </c>
      <c r="K19" s="25" t="e">
        <f t="shared" ca="1" si="6"/>
        <v>#NUM!</v>
      </c>
    </row>
    <row r="20" spans="2:11" x14ac:dyDescent="0.15">
      <c r="B20" t="s">
        <v>52</v>
      </c>
      <c r="C20">
        <f ca="1">IF(OR(F20=TRUE,SUM(C12:C14)&lt;=30),0,IF('病休・介休 入力'!$B$2=6,D20,E20))</f>
        <v>9</v>
      </c>
      <c r="D20" s="24" t="e">
        <f ca="1">DATEDIF('病休・介休 入力'!O7,'病休・介休 入力'!P7+1,"MD")</f>
        <v>#NUM!</v>
      </c>
      <c r="E20" s="24">
        <f ca="1">DATEDIF('病休・介休 入力'!Z7,'病休・介休 入力'!AA7+1,"MD")</f>
        <v>9</v>
      </c>
      <c r="F20" t="b">
        <f ca="1">IF('病休・介休 入力'!$B$2=6,ISERR(D20),ISERR(E20))</f>
        <v>0</v>
      </c>
      <c r="H20" s="25" t="e">
        <f ca="1">I17+1</f>
        <v>#NUM!</v>
      </c>
      <c r="I20" s="25">
        <f ca="1">'病休・介休 入力'!P7</f>
        <v>42522</v>
      </c>
      <c r="J20" s="25">
        <f ca="1">K17+1</f>
        <v>42562</v>
      </c>
      <c r="K20" s="25">
        <f ca="1">'病休・介休 入力'!AA7</f>
        <v>42570</v>
      </c>
    </row>
    <row r="21" spans="2:11" x14ac:dyDescent="0.15">
      <c r="B21" t="s">
        <v>53</v>
      </c>
      <c r="C21">
        <f ca="1">IF(OR(F21=TRUE,SUM(C12:C14)&lt;=30),0,IF('病休・介休 入力'!$B$2=6,D21,E21))</f>
        <v>17</v>
      </c>
      <c r="D21" s="24" t="e">
        <f ca="1">DATEDIF('病休・介休 入力'!O8,'病休・介休 入力'!P8+1,"MD")</f>
        <v>#NUM!</v>
      </c>
      <c r="E21" s="24">
        <f ca="1">DATEDIF('病休・介休 入力'!Z8,'病休・介休 入力'!AA8+1,"MD")</f>
        <v>17</v>
      </c>
      <c r="F21" t="b">
        <f ca="1">IF('病休・介休 入力'!$B$2=6,ISERR(D21),ISERR(E21))</f>
        <v>0</v>
      </c>
      <c r="H21" s="25" t="e">
        <f t="shared" ref="H21:H22" ca="1" si="7">I18+1</f>
        <v>#NUM!</v>
      </c>
      <c r="I21" s="25">
        <f ca="1">'病休・介休 入力'!P8</f>
        <v>42522</v>
      </c>
      <c r="J21" s="25">
        <f t="shared" ref="J21:J22" ca="1" si="8">K18+1</f>
        <v>42617</v>
      </c>
      <c r="K21" s="25">
        <f ca="1">'病休・介休 入力'!AA8</f>
        <v>42633</v>
      </c>
    </row>
    <row r="22" spans="2:11" x14ac:dyDescent="0.15">
      <c r="B22" t="s">
        <v>54</v>
      </c>
      <c r="C22">
        <f ca="1">IF(OR(F22=TRUE,SUM(C12:C14)&lt;=30),0,IF('病休・介休 入力'!$B$2=6,D22,E22))</f>
        <v>0</v>
      </c>
      <c r="D22" s="24" t="e">
        <f ca="1">DATEDIF('病休・介休 入力'!O9,'病休・介休 入力'!P9+1,"MD")</f>
        <v>#NUM!</v>
      </c>
      <c r="E22" s="24" t="e">
        <f ca="1">DATEDIF('病休・介休 入力'!Z9,'病休・介休 入力'!AA9+1,"MD")</f>
        <v>#NUM!</v>
      </c>
      <c r="F22" t="b">
        <f ca="1">IF('病休・介休 入力'!$B$2=6,ISERR(D22),ISERR(E22))</f>
        <v>1</v>
      </c>
      <c r="H22" s="25" t="e">
        <f t="shared" ca="1" si="7"/>
        <v>#NUM!</v>
      </c>
      <c r="I22" s="25">
        <f ca="1">'病休・介休 入力'!P9</f>
        <v>0</v>
      </c>
      <c r="J22" s="25" t="e">
        <f t="shared" ca="1" si="8"/>
        <v>#NUM!</v>
      </c>
      <c r="K22" s="25">
        <f ca="1">'病休・介休 入力'!AA9</f>
        <v>0</v>
      </c>
    </row>
    <row r="23" spans="2:11" x14ac:dyDescent="0.15">
      <c r="B23" t="s">
        <v>49</v>
      </c>
      <c r="C23">
        <f ca="1">IF(OR(F23=TRUE,SUM(C12:C14)&lt;=30),0,IF('病休・介休 入力'!$B$2=6,D23,E23))</f>
        <v>6</v>
      </c>
      <c r="D23" s="24" t="e">
        <f ca="1">NETWORKDAYS(H20,I20,祝日表)</f>
        <v>#NUM!</v>
      </c>
      <c r="E23" s="25">
        <f ca="1">NETWORKDAYS(J20,K20,祝日表)</f>
        <v>6</v>
      </c>
      <c r="F23" t="b">
        <f ca="1">IF('病休・介休 入力'!$B$2=6,ISERR(D23),ISERR(E23))</f>
        <v>0</v>
      </c>
    </row>
    <row r="24" spans="2:11" x14ac:dyDescent="0.15">
      <c r="B24" t="s">
        <v>50</v>
      </c>
      <c r="C24">
        <f ca="1">IF(OR(F24=TRUE,SUM(C12:C14)&lt;=30),0,IF('病休・介休 入力'!$B$2=6,D24,E24))</f>
        <v>11</v>
      </c>
      <c r="D24" s="24" t="e">
        <f ca="1">NETWORKDAYS(H21,I21,祝日表)</f>
        <v>#NUM!</v>
      </c>
      <c r="E24" s="25">
        <f ca="1">NETWORKDAYS(J21,K21,祝日表)</f>
        <v>11</v>
      </c>
      <c r="F24" t="b">
        <f ca="1">IF('病休・介休 入力'!$B$2=6,ISERR(D24),ISERR(E24))</f>
        <v>0</v>
      </c>
    </row>
    <row r="25" spans="2:11" x14ac:dyDescent="0.15">
      <c r="B25" t="s">
        <v>51</v>
      </c>
      <c r="C25">
        <f ca="1">IF(OR(F25=TRUE,SUM(C12:C14)&lt;=30),0,IF('病休・介休 入力'!$B$2=6,D25,E25))</f>
        <v>0</v>
      </c>
      <c r="D25" s="24" t="e">
        <f ca="1">NETWORKDAYS(H22,I22,祝日表)</f>
        <v>#NUM!</v>
      </c>
      <c r="E25" s="25" t="e">
        <f ca="1">NETWORKDAYS(J22,K22,祝日表)</f>
        <v>#NUM!</v>
      </c>
      <c r="F25" t="b">
        <f ca="1">IF('病休・介休 入力'!$B$2=6,ISERR(D25),ISERR(E25))</f>
        <v>1</v>
      </c>
    </row>
    <row r="26" spans="2:11" x14ac:dyDescent="0.15">
      <c r="B26" t="s">
        <v>78</v>
      </c>
      <c r="C26">
        <f ca="1">IF(OR(SUM(C12:C14)&lt;=30,SUM(C17:C19)=6),0,IF(D28&gt;0,5,6)-SUM(C17:C19,E26))+E28</f>
        <v>4</v>
      </c>
      <c r="D26">
        <f ca="1">SUM('病休・介休 印刷'!M30:N30,'病休・介休 印刷'!M35:N35,'病休・介休 印刷'!M40:N40)</f>
        <v>17</v>
      </c>
      <c r="E26">
        <f ca="1">QUOTIENT(D26,30)</f>
        <v>0</v>
      </c>
    </row>
    <row r="27" spans="2:11" x14ac:dyDescent="0.15">
      <c r="B27" t="s">
        <v>79</v>
      </c>
      <c r="C27">
        <f ca="1">E29</f>
        <v>13</v>
      </c>
      <c r="E27">
        <f ca="1">MOD(D26,30)</f>
        <v>17</v>
      </c>
    </row>
    <row r="28" spans="2:11" x14ac:dyDescent="0.15">
      <c r="D28">
        <f ca="1">IF(OR(SUM(C12:C14)&lt;=30,SUM(C17:C19)=6),0,30-E27)</f>
        <v>13</v>
      </c>
      <c r="E28">
        <f ca="1">QUOTIENT(D28,30)</f>
        <v>0</v>
      </c>
    </row>
    <row r="29" spans="2:11" x14ac:dyDescent="0.15">
      <c r="E29">
        <f ca="1">MOD(D28,30)</f>
        <v>13</v>
      </c>
    </row>
    <row r="30" spans="2:11" x14ac:dyDescent="0.15">
      <c r="B30" t="s">
        <v>81</v>
      </c>
      <c r="C30">
        <f ca="1">IF(OR(F30=TRUE,'病休・介休 入力'!E11&gt;'病休・介休 入力'!Y10),0,IF('病休・介休 入力'!$B$2=6,D30,E30))</f>
        <v>0</v>
      </c>
      <c r="D30" t="e">
        <f ca="1">DATEDIF('病休・介休 入力'!O10,'病休・介休 入力'!P10+1,"M")</f>
        <v>#NUM!</v>
      </c>
      <c r="E30" t="e">
        <f ca="1">DATEDIF('病休・介休 入力'!Z10,'病休・介休 入力'!AA10+1,"M")</f>
        <v>#NUM!</v>
      </c>
      <c r="F30" t="b">
        <f ca="1">IF('病休・介休 入力'!$B$2=6,ISERR(D30),ISERR(E30))</f>
        <v>1</v>
      </c>
      <c r="H30" s="25">
        <f ca="1">'病休・介休 入力'!O10</f>
        <v>42340</v>
      </c>
      <c r="I30" s="25" t="e">
        <f ca="1">DATE(YEAR(H30),MONTH(H30)+D30,DAY(H30)-1)</f>
        <v>#NUM!</v>
      </c>
      <c r="J30" s="25">
        <f ca="1">'病休・介休 入力'!Z10</f>
        <v>42523</v>
      </c>
      <c r="K30" s="25" t="e">
        <f ca="1">DATE(YEAR(J30),MONTH(J30)+E30,DAY(J30)-1)</f>
        <v>#NUM!</v>
      </c>
    </row>
    <row r="31" spans="2:11" x14ac:dyDescent="0.15">
      <c r="B31" t="s">
        <v>82</v>
      </c>
      <c r="C31">
        <f ca="1">IF(OR(F31=TRUE,'病休・介休 入力'!E11&gt;'病休・介休 入力'!Y10),0,IF('病休・介休 入力'!$B$2=6,D31,E31))</f>
        <v>0</v>
      </c>
      <c r="D31" s="24" t="e">
        <f ca="1">DATEDIF('病休・介休 入力'!O10,'病休・介休 入力'!P10+1,"MD")</f>
        <v>#NUM!</v>
      </c>
      <c r="E31" s="24" t="e">
        <f ca="1">DATEDIF('病休・介休 入力'!Z10,'病休・介休 入力'!AA10+1,"MD")</f>
        <v>#NUM!</v>
      </c>
      <c r="F31" t="b">
        <f ca="1">IF('病休・介休 入力'!$B$2=6,ISERR(D31),ISERR(E31))</f>
        <v>1</v>
      </c>
      <c r="H31" s="25" t="e">
        <f ca="1">I30+1</f>
        <v>#NUM!</v>
      </c>
      <c r="I31" s="25">
        <f ca="1">'病休・介休 入力'!P10</f>
        <v>0</v>
      </c>
      <c r="J31" s="25" t="e">
        <f ca="1">K30+1</f>
        <v>#NUM!</v>
      </c>
      <c r="K31" s="25">
        <f ca="1">'病休・介休 入力'!AA10</f>
        <v>0</v>
      </c>
    </row>
    <row r="32" spans="2:11" x14ac:dyDescent="0.15">
      <c r="B32" t="s">
        <v>78</v>
      </c>
      <c r="C32">
        <f ca="1">IF(OR(C30=6,AND(C30=0,C31=0)),0,IF(C33&gt;0,5,6)-C30)</f>
        <v>0</v>
      </c>
    </row>
    <row r="33" spans="2:5" x14ac:dyDescent="0.15">
      <c r="B33" t="s">
        <v>79</v>
      </c>
      <c r="C33">
        <f ca="1">IF(OR(C30=6,AND(C30=0,C31=0)),0,30-'病休・介休 印刷'!L54)</f>
        <v>0</v>
      </c>
    </row>
    <row r="35" spans="2:5" x14ac:dyDescent="0.15">
      <c r="B35" t="s">
        <v>103</v>
      </c>
      <c r="C35">
        <f ca="1">SUM(C17:C19,C30)+E37</f>
        <v>1</v>
      </c>
    </row>
    <row r="36" spans="2:5" x14ac:dyDescent="0.15">
      <c r="B36" t="s">
        <v>104</v>
      </c>
      <c r="C36">
        <f ca="1">E38</f>
        <v>17</v>
      </c>
    </row>
    <row r="37" spans="2:5" x14ac:dyDescent="0.15">
      <c r="B37" t="s">
        <v>101</v>
      </c>
      <c r="C37">
        <f ca="1">IF(OR(D38&lt;2,C35=6,AND(C35=0,C36=0)),0,IF(C38&gt;0,5,6)-C35)</f>
        <v>4</v>
      </c>
      <c r="D37">
        <f ca="1">D26+C31</f>
        <v>17</v>
      </c>
      <c r="E37">
        <f ca="1">QUOTIENT(D37,30)</f>
        <v>0</v>
      </c>
    </row>
    <row r="38" spans="2:5" x14ac:dyDescent="0.15">
      <c r="B38" t="s">
        <v>102</v>
      </c>
      <c r="C38">
        <f ca="1">IF(OR(D38&lt;2,C35=6,AND(C35=0,C36=0)),0,30-C36)</f>
        <v>13</v>
      </c>
      <c r="D38">
        <f>COUNTA('病休・介休 入力'!C8:C11,'病休・介休 入力'!E8:E11)</f>
        <v>4</v>
      </c>
      <c r="E38">
        <f ca="1">MOD(D37,30)</f>
        <v>17</v>
      </c>
    </row>
  </sheetData>
  <phoneticPr fontId="2"/>
  <pageMargins left="0.7" right="0.7" top="0.75" bottom="0.75" header="0.3" footer="0.3"/>
  <pageSetup paperSize="9" orientation="portrait" horizontalDpi="4294967293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AA10"/>
  <sheetViews>
    <sheetView tabSelected="1" workbookViewId="0">
      <selection activeCell="B2" sqref="B2"/>
    </sheetView>
  </sheetViews>
  <sheetFormatPr defaultColWidth="9" defaultRowHeight="15" customHeight="1" x14ac:dyDescent="0.15"/>
  <cols>
    <col min="1" max="1" width="2.5" style="47" customWidth="1"/>
    <col min="2" max="2" width="20.25" style="47" bestFit="1" customWidth="1"/>
    <col min="3" max="3" width="18.75" style="47" customWidth="1"/>
    <col min="4" max="4" width="3.75" style="47" customWidth="1"/>
    <col min="5" max="5" width="18.75" style="47" customWidth="1"/>
    <col min="6" max="6" width="9" style="47"/>
    <col min="7" max="7" width="5.5" style="47" hidden="1" customWidth="1"/>
    <col min="8" max="8" width="3.5" style="47" hidden="1" customWidth="1"/>
    <col min="9" max="9" width="2.5" style="47" hidden="1" customWidth="1"/>
    <col min="10" max="10" width="6.5" style="47" hidden="1" customWidth="1"/>
    <col min="11" max="11" width="5.5" style="47" hidden="1" customWidth="1"/>
    <col min="12" max="13" width="2.5" style="47" hidden="1" customWidth="1"/>
    <col min="14" max="14" width="6.5" style="47" hidden="1" customWidth="1"/>
    <col min="15" max="15" width="11.625" style="47" hidden="1" customWidth="1"/>
    <col min="16" max="16" width="10.5" style="47" hidden="1" customWidth="1"/>
    <col min="17" max="17" width="2.25" style="47" hidden="1" customWidth="1"/>
    <col min="18" max="18" width="5.5" style="47" hidden="1" customWidth="1"/>
    <col min="19" max="20" width="2.5" style="47" hidden="1" customWidth="1"/>
    <col min="21" max="21" width="6.5" style="47" hidden="1" customWidth="1"/>
    <col min="22" max="22" width="5.5" style="47" hidden="1" customWidth="1"/>
    <col min="23" max="23" width="3.5" style="47" hidden="1" customWidth="1"/>
    <col min="24" max="24" width="2.5" style="47" hidden="1" customWidth="1"/>
    <col min="25" max="25" width="6.5" style="47" hidden="1" customWidth="1"/>
    <col min="26" max="26" width="11.625" style="47" hidden="1" customWidth="1"/>
    <col min="27" max="27" width="10.5" style="47" hidden="1" customWidth="1"/>
    <col min="28" max="16384" width="9" style="47"/>
  </cols>
  <sheetData>
    <row r="2" spans="2:27" ht="27" customHeight="1" x14ac:dyDescent="0.15">
      <c r="B2" s="41"/>
      <c r="C2" s="40" t="s">
        <v>42</v>
      </c>
    </row>
    <row r="3" spans="2:27" ht="27" customHeight="1" x14ac:dyDescent="0.15">
      <c r="B3" s="153" t="s">
        <v>115</v>
      </c>
      <c r="C3" s="45"/>
    </row>
    <row r="4" spans="2:27" ht="27" customHeight="1" x14ac:dyDescent="0.15">
      <c r="B4" s="153" t="s">
        <v>114</v>
      </c>
      <c r="C4" s="42"/>
    </row>
    <row r="5" spans="2:27" ht="27" customHeight="1" x14ac:dyDescent="0.15">
      <c r="B5" s="153" t="s">
        <v>113</v>
      </c>
      <c r="C5" s="45"/>
    </row>
    <row r="6" spans="2:27" ht="27" customHeight="1" x14ac:dyDescent="0.15">
      <c r="B6" s="153" t="s">
        <v>112</v>
      </c>
      <c r="C6" s="45"/>
      <c r="G6" s="14" t="s">
        <v>41</v>
      </c>
      <c r="H6" s="15"/>
      <c r="I6" s="15"/>
      <c r="J6" s="15"/>
      <c r="K6" s="15"/>
      <c r="L6" s="15"/>
      <c r="M6" s="15"/>
      <c r="N6" s="15"/>
      <c r="O6" s="15"/>
      <c r="P6" s="16"/>
      <c r="R6" s="14" t="s">
        <v>43</v>
      </c>
      <c r="S6" s="15"/>
      <c r="T6" s="15"/>
      <c r="U6" s="15"/>
      <c r="V6" s="15"/>
      <c r="W6" s="15"/>
      <c r="X6" s="15"/>
      <c r="Y6" s="15"/>
      <c r="Z6" s="15"/>
      <c r="AA6" s="16"/>
    </row>
    <row r="7" spans="2:27" ht="27" customHeight="1" x14ac:dyDescent="0.15">
      <c r="B7" s="153" t="s">
        <v>205</v>
      </c>
      <c r="C7" s="45"/>
      <c r="D7" s="73"/>
      <c r="E7" s="73"/>
      <c r="G7" s="17">
        <f ca="1">YEAR(TODAY())-1</f>
        <v>2015</v>
      </c>
      <c r="H7" s="18">
        <v>12</v>
      </c>
      <c r="I7" s="18">
        <v>2</v>
      </c>
      <c r="J7" s="19">
        <f ca="1">DATEVALUE(G7&amp;"/"&amp;H7&amp;"/"&amp;I7)</f>
        <v>42340</v>
      </c>
      <c r="K7" s="18">
        <f ca="1">YEAR(TODAY())</f>
        <v>2016</v>
      </c>
      <c r="L7" s="18">
        <v>6</v>
      </c>
      <c r="M7" s="18">
        <v>1</v>
      </c>
      <c r="N7" s="19">
        <f ca="1">DATEVALUE(K7&amp;"/"&amp;L7&amp;"/"&amp;M7)</f>
        <v>42522</v>
      </c>
      <c r="O7" s="27">
        <f ca="1">IF($C$8&lt;J7,J7,$C$8)</f>
        <v>42340</v>
      </c>
      <c r="P7" s="29">
        <f ca="1">IF($E$8&gt;N7,N7,$E$8)</f>
        <v>41876</v>
      </c>
      <c r="R7" s="17">
        <f ca="1">YEAR(TODAY())</f>
        <v>2016</v>
      </c>
      <c r="S7" s="18">
        <v>6</v>
      </c>
      <c r="T7" s="18">
        <v>2</v>
      </c>
      <c r="U7" s="19">
        <f ca="1">DATEVALUE(R7&amp;"/"&amp;S7&amp;"/"&amp;T7)</f>
        <v>42523</v>
      </c>
      <c r="V7" s="18">
        <f ca="1">YEAR(TODAY())</f>
        <v>2016</v>
      </c>
      <c r="W7" s="18">
        <v>12</v>
      </c>
      <c r="X7" s="18">
        <v>1</v>
      </c>
      <c r="Y7" s="19">
        <f ca="1">DATEVALUE(V7&amp;"/"&amp;W7&amp;"/"&amp;X7)</f>
        <v>42705</v>
      </c>
      <c r="Z7" s="27">
        <f ca="1">IF($C8&lt;U7,U7,$C8)</f>
        <v>42523</v>
      </c>
      <c r="AA7" s="29">
        <f ca="1">IF($E8&gt;Y7,Y7,$E8)</f>
        <v>41876</v>
      </c>
    </row>
    <row r="8" spans="2:27" ht="27" customHeight="1" x14ac:dyDescent="0.15">
      <c r="B8" s="153" t="s">
        <v>110</v>
      </c>
      <c r="C8" s="43">
        <v>41773</v>
      </c>
      <c r="D8" s="39" t="s">
        <v>25</v>
      </c>
      <c r="E8" s="44">
        <v>41876</v>
      </c>
      <c r="G8" s="20">
        <f t="shared" ref="G8" ca="1" si="0">YEAR(TODAY())-1</f>
        <v>2015</v>
      </c>
      <c r="H8" s="21">
        <v>12</v>
      </c>
      <c r="I8" s="21">
        <v>2</v>
      </c>
      <c r="J8" s="22">
        <f t="shared" ref="J8" ca="1" si="1">DATEVALUE(G8&amp;"/"&amp;H8&amp;"/"&amp;I8)</f>
        <v>42340</v>
      </c>
      <c r="K8" s="21">
        <f t="shared" ref="K8" ca="1" si="2">YEAR(TODAY())</f>
        <v>2016</v>
      </c>
      <c r="L8" s="21">
        <v>6</v>
      </c>
      <c r="M8" s="21">
        <v>1</v>
      </c>
      <c r="N8" s="22">
        <f t="shared" ref="N8" ca="1" si="3">DATEVALUE(K8&amp;"/"&amp;L8&amp;"/"&amp;M8)</f>
        <v>42522</v>
      </c>
      <c r="O8" s="28">
        <f ca="1">IF(C9&lt;J8,J8,C9)</f>
        <v>42340</v>
      </c>
      <c r="P8" s="30">
        <f ca="1">IF(E9&gt;N8,N8,E9)</f>
        <v>42453</v>
      </c>
      <c r="R8" s="20">
        <f t="shared" ref="R8" ca="1" si="4">YEAR(TODAY())</f>
        <v>2016</v>
      </c>
      <c r="S8" s="21">
        <v>6</v>
      </c>
      <c r="T8" s="21">
        <v>2</v>
      </c>
      <c r="U8" s="22">
        <f t="shared" ref="U8" ca="1" si="5">DATEVALUE(R8&amp;"/"&amp;S8&amp;"/"&amp;T8)</f>
        <v>42523</v>
      </c>
      <c r="V8" s="21">
        <f t="shared" ref="V8" ca="1" si="6">YEAR(TODAY())</f>
        <v>2016</v>
      </c>
      <c r="W8" s="21">
        <v>12</v>
      </c>
      <c r="X8" s="21">
        <v>1</v>
      </c>
      <c r="Y8" s="22">
        <f t="shared" ref="Y8" ca="1" si="7">DATEVALUE(V8&amp;"/"&amp;W8&amp;"/"&amp;X8)</f>
        <v>42705</v>
      </c>
      <c r="Z8" s="28">
        <f ca="1">IF($C9&lt;U8,U8,$C9)</f>
        <v>42523</v>
      </c>
      <c r="AA8" s="30">
        <f ca="1">IF($E9&gt;Y8,Y8,$E9)</f>
        <v>42453</v>
      </c>
    </row>
    <row r="9" spans="2:27" ht="27" customHeight="1" x14ac:dyDescent="0.15">
      <c r="B9" s="153" t="s">
        <v>111</v>
      </c>
      <c r="C9" s="43">
        <v>41877</v>
      </c>
      <c r="D9" s="39" t="s">
        <v>25</v>
      </c>
      <c r="E9" s="44">
        <v>42453</v>
      </c>
    </row>
    <row r="10" spans="2:27" ht="27" customHeight="1" x14ac:dyDescent="0.15">
      <c r="B10" s="153" t="s">
        <v>206</v>
      </c>
      <c r="C10" s="370" t="s">
        <v>210</v>
      </c>
      <c r="D10" s="371"/>
      <c r="E10" s="372"/>
    </row>
  </sheetData>
  <sheetProtection sheet="1" objects="1" scenarios="1" selectLockedCells="1"/>
  <mergeCells count="1">
    <mergeCell ref="C10:E10"/>
  </mergeCells>
  <phoneticPr fontId="2"/>
  <dataValidations count="2">
    <dataValidation imeMode="on" allowBlank="1" showInputMessage="1" showErrorMessage="1" sqref="C3:C7 C10"/>
    <dataValidation type="list" allowBlank="1" showInputMessage="1" showErrorMessage="1" sqref="B2">
      <formula1>"6,12"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J26"/>
  <sheetViews>
    <sheetView topLeftCell="A4" workbookViewId="0">
      <selection activeCell="C26" sqref="C26"/>
    </sheetView>
  </sheetViews>
  <sheetFormatPr defaultRowHeight="13.5" x14ac:dyDescent="0.15"/>
  <cols>
    <col min="1" max="1" width="2.25" customWidth="1"/>
    <col min="2" max="2" width="31.375" bestFit="1" customWidth="1"/>
    <col min="4" max="6" width="9" customWidth="1"/>
    <col min="7" max="7" width="10.5" bestFit="1" customWidth="1"/>
    <col min="8" max="8" width="11.625" bestFit="1" customWidth="1"/>
    <col min="9" max="9" width="10.5" bestFit="1" customWidth="1"/>
    <col min="10" max="10" width="11.625" bestFit="1" customWidth="1"/>
    <col min="11" max="11" width="11" customWidth="1"/>
  </cols>
  <sheetData>
    <row r="2" spans="2:10" x14ac:dyDescent="0.15">
      <c r="D2" s="23" t="s">
        <v>44</v>
      </c>
      <c r="E2" s="23" t="s">
        <v>45</v>
      </c>
    </row>
    <row r="3" spans="2:10" x14ac:dyDescent="0.15">
      <c r="B3" t="s">
        <v>118</v>
      </c>
      <c r="C3" t="b">
        <f ca="1">IF('産休・育休 入力'!$B$2=6,D3,E3)</f>
        <v>0</v>
      </c>
      <c r="D3" t="b">
        <f ca="1">AND('産休・育休 入力'!C9&lt;='産休・育休 入力'!J8,'産休・育休 入力'!E9&gt;='産休・育休 入力'!N8)</f>
        <v>0</v>
      </c>
      <c r="E3" t="b">
        <f ca="1">AND('産休・育休 入力'!C9&lt;='産休・育休 入力'!U8,'産休・育休 入力'!E9&gt;='産休・育休 入力'!Y8)</f>
        <v>0</v>
      </c>
    </row>
    <row r="4" spans="2:10" x14ac:dyDescent="0.15">
      <c r="G4" s="52" t="s">
        <v>44</v>
      </c>
      <c r="H4" s="52"/>
      <c r="I4" s="52" t="s">
        <v>45</v>
      </c>
      <c r="J4" s="52"/>
    </row>
    <row r="5" spans="2:10" x14ac:dyDescent="0.15">
      <c r="B5" t="s">
        <v>125</v>
      </c>
      <c r="C5">
        <f ca="1">IF(F5=TRUE,0,IF('産休・育休 入力'!$B$2=6,D5,E5))</f>
        <v>0</v>
      </c>
      <c r="D5">
        <f ca="1">IF(C3=TRUE,6,DATEDIF('産休・育休 入力'!O8,'産休・育休 入力'!P8+1,"M"))</f>
        <v>3</v>
      </c>
      <c r="E5" t="e">
        <f ca="1">IF(C3=TRUE,6,DATEDIF('産休・育休 入力'!Z8,'産休・育休 入力'!AA8+1,"M"))</f>
        <v>#NUM!</v>
      </c>
      <c r="F5" t="b">
        <f ca="1">IF('産休・育休 入力'!$B$2=6,ISERR(D5),ISERR(E5))</f>
        <v>1</v>
      </c>
      <c r="G5" s="25">
        <f ca="1">'産休・育休 入力'!O8</f>
        <v>42340</v>
      </c>
      <c r="H5" s="25">
        <f ca="1">DATE(YEAR(G5),MONTH(G5)+D5,DAY(G5)-1)</f>
        <v>42430</v>
      </c>
      <c r="I5" s="25">
        <f ca="1">'産休・育休 入力'!Z8</f>
        <v>42523</v>
      </c>
      <c r="J5" s="25" t="e">
        <f ca="1">DATE(YEAR(I5),MONTH(I5)+E5,DAY(I5)-1)</f>
        <v>#NUM!</v>
      </c>
    </row>
    <row r="6" spans="2:10" x14ac:dyDescent="0.15">
      <c r="B6" t="s">
        <v>126</v>
      </c>
      <c r="C6">
        <f ca="1">IF(F6=TRUE,0,IF('産休・育休 入力'!$B$2=6,D6,E6))</f>
        <v>0</v>
      </c>
      <c r="D6" s="24">
        <f ca="1">DATEDIF('産休・育休 入力'!O8,'産休・育休 入力'!P8+1,"MD")</f>
        <v>23</v>
      </c>
      <c r="E6" s="24" t="e">
        <f ca="1">DATEDIF('産休・育休 入力'!Z8,'産休・育休 入力'!AA8+1,"MD")</f>
        <v>#NUM!</v>
      </c>
      <c r="F6" t="b">
        <f ca="1">IF('産休・育休 入力'!$B$2=6,ISERR(D6),ISERR(E6))</f>
        <v>1</v>
      </c>
      <c r="G6" s="25">
        <f ca="1">H5+1</f>
        <v>42431</v>
      </c>
      <c r="H6" s="25">
        <f ca="1">'産休・育休 入力'!P8</f>
        <v>42453</v>
      </c>
      <c r="I6" s="25" t="e">
        <f ca="1">J5+1</f>
        <v>#NUM!</v>
      </c>
      <c r="J6" s="25">
        <f ca="1">'産休・育休 入力'!AA8</f>
        <v>42453</v>
      </c>
    </row>
    <row r="8" spans="2:10" x14ac:dyDescent="0.15">
      <c r="B8" t="s">
        <v>127</v>
      </c>
      <c r="C8">
        <f ca="1">IF(C5=6,0,QUOTIENT(C5/2,1))</f>
        <v>0</v>
      </c>
    </row>
    <row r="9" spans="2:10" x14ac:dyDescent="0.15">
      <c r="B9" t="s">
        <v>128</v>
      </c>
      <c r="C9">
        <f ca="1">IF(MOD(C5/2,1),C6/2+15,C6/2)</f>
        <v>0</v>
      </c>
    </row>
    <row r="11" spans="2:10" x14ac:dyDescent="0.15">
      <c r="B11" t="s">
        <v>145</v>
      </c>
      <c r="C11">
        <f ca="1">IF(C5=6,0,IF(C9&gt;0,6-C8-1,6-C8))</f>
        <v>6</v>
      </c>
    </row>
    <row r="12" spans="2:10" x14ac:dyDescent="0.15">
      <c r="B12" t="s">
        <v>146</v>
      </c>
      <c r="C12">
        <f ca="1">IF(30-C9=30,0,30-C9)</f>
        <v>0</v>
      </c>
    </row>
    <row r="14" spans="2:10" x14ac:dyDescent="0.15">
      <c r="B14" t="s">
        <v>137</v>
      </c>
      <c r="C14" t="b">
        <f>IF(OR('産休・育休 入力'!E8+1='産休・育休 入力'!C9,'産休・育休 入力'!E9+1='産休・育休 入力'!C8),TRUE,FALSE)</f>
        <v>1</v>
      </c>
    </row>
    <row r="15" spans="2:10" x14ac:dyDescent="0.15">
      <c r="B15" t="s">
        <v>138</v>
      </c>
      <c r="C15" t="b">
        <f ca="1">IF('産休・育休 入力'!$B$2=6,D15,E15)</f>
        <v>0</v>
      </c>
      <c r="D15" t="b">
        <f ca="1">OR(AND('産休・育休 入力'!C8&lt;='産休・育休 入力'!J7,'産休・育休 入力'!E9&gt;='産休・育休 入力'!N8),AND('産休・育休 入力'!C9&lt;='産休・育休 入力'!J7,'産休・育休 入力'!E8&gt;='産休・育休 入力'!N8))</f>
        <v>0</v>
      </c>
      <c r="E15" t="b">
        <f ca="1">OR(AND('産休・育休 入力'!C8&lt;='産休・育休 入力'!U7,'産休・育休 入力'!E9&gt;='産休・育休 入力'!Y8),AND('産休・育休 入力'!C9&lt;='産休・育休 入力'!U7,'産休・育休 入力'!E8&gt;='産休・育休 入力'!Y8))</f>
        <v>0</v>
      </c>
    </row>
    <row r="16" spans="2:10" x14ac:dyDescent="0.15">
      <c r="B16" t="s">
        <v>139</v>
      </c>
      <c r="C16" t="b">
        <f ca="1">IF('産休・育休 入力'!$B$2=6,D16,E16)</f>
        <v>0</v>
      </c>
      <c r="D16" t="b">
        <f ca="1">AND('産休・育休 入力'!$C$8&lt;='産休・育休 入力'!N7,'産休・育休 入力'!$E$8&gt;='産休・育休 入力'!N7)</f>
        <v>0</v>
      </c>
      <c r="E16" t="b">
        <f ca="1">AND('産休・育休 入力'!$C$8&lt;='産休・育休 入力'!U7,'産休・育休 入力'!$E$8&gt;='産休・育休 入力'!Y7)</f>
        <v>0</v>
      </c>
    </row>
    <row r="18" spans="2:3" x14ac:dyDescent="0.15">
      <c r="B18" t="s">
        <v>147</v>
      </c>
      <c r="C18">
        <f ca="1">IF(OR(C3=TRUE,AND(C14=TRUE,C15=TRUE)),0,C5)</f>
        <v>0</v>
      </c>
    </row>
    <row r="19" spans="2:3" x14ac:dyDescent="0.15">
      <c r="B19" t="s">
        <v>148</v>
      </c>
      <c r="C19">
        <f ca="1">IF(OR(C3=TRUE,AND(C14=TRUE,C15=TRUE)),0,C6)</f>
        <v>0</v>
      </c>
    </row>
    <row r="21" spans="2:3" x14ac:dyDescent="0.15">
      <c r="B21" t="s">
        <v>142</v>
      </c>
      <c r="C21">
        <f ca="1">IF(OR(C3=TRUE,AND(C14=TRUE,C15=TRUE)),0,IF(C6&gt;0,6-C5-1,6-C5))</f>
        <v>6</v>
      </c>
    </row>
    <row r="22" spans="2:3" x14ac:dyDescent="0.15">
      <c r="B22" t="s">
        <v>143</v>
      </c>
      <c r="C22">
        <f ca="1">IF(OR(C3=TRUE,AND(C14=TRUE,C15=TRUE)),0,IF(30-C6=30,0,30-C6))</f>
        <v>0</v>
      </c>
    </row>
    <row r="24" spans="2:3" x14ac:dyDescent="0.15">
      <c r="B24" t="s">
        <v>149</v>
      </c>
      <c r="C24" t="s">
        <v>230</v>
      </c>
    </row>
    <row r="25" spans="2:3" x14ac:dyDescent="0.15">
      <c r="B25" t="s">
        <v>150</v>
      </c>
      <c r="C25" t="s">
        <v>231</v>
      </c>
    </row>
    <row r="26" spans="2:3" x14ac:dyDescent="0.15">
      <c r="B26" t="s">
        <v>151</v>
      </c>
      <c r="C26" t="str">
        <f ca="1">IF(C3=TRUE,"",IF(AND(C14=TRUE,C15=TRUE,C16=FALSE),C24,IF(AND(C14=TRUE,C15=TRUE,C16=TRUE),C25,"")))</f>
        <v/>
      </c>
    </row>
  </sheetData>
  <phoneticPr fontId="2"/>
  <pageMargins left="0.7" right="0.7" top="0.75" bottom="0.75" header="0.3" footer="0.3"/>
  <pageSetup paperSize="9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B2:AJ34"/>
  <sheetViews>
    <sheetView showZeros="0" workbookViewId="0">
      <selection activeCell="P31" sqref="P31"/>
    </sheetView>
  </sheetViews>
  <sheetFormatPr defaultColWidth="3" defaultRowHeight="18" customHeight="1" x14ac:dyDescent="0.15"/>
  <cols>
    <col min="1" max="9" width="3" style="47"/>
    <col min="10" max="10" width="3" style="47" customWidth="1"/>
    <col min="11" max="11" width="3" style="47"/>
    <col min="12" max="15" width="3" style="47" customWidth="1"/>
    <col min="16" max="17" width="3" style="47"/>
    <col min="18" max="18" width="3" style="47" customWidth="1"/>
    <col min="19" max="21" width="3" style="47"/>
    <col min="22" max="22" width="3" style="47" customWidth="1"/>
    <col min="23" max="24" width="3" style="47"/>
    <col min="25" max="25" width="3" style="47" customWidth="1"/>
    <col min="26" max="16384" width="3" style="47"/>
  </cols>
  <sheetData>
    <row r="2" spans="2:36" ht="18" customHeight="1" x14ac:dyDescent="0.15">
      <c r="B2" s="365" t="str">
        <f ca="1">"平成"&amp;TEXT(TODAY(),"e")&amp;"年"&amp;'産休・育休 入力'!B2&amp;'産休・育休 入力'!C2&amp;" 除算期間計算書（産休・育休）"</f>
        <v>平成28年月期末勤勉手当 除算期間計算書（産休・育休）</v>
      </c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  <c r="Z2" s="365"/>
      <c r="AA2" s="365"/>
      <c r="AB2" s="365"/>
      <c r="AC2" s="365"/>
      <c r="AD2" s="365"/>
      <c r="AE2" s="33"/>
      <c r="AF2" s="33"/>
      <c r="AG2" s="33"/>
      <c r="AH2" s="33"/>
      <c r="AI2" s="33"/>
      <c r="AJ2" s="33"/>
    </row>
    <row r="3" spans="2:36" ht="13.5" customHeight="1" x14ac:dyDescent="0.15"/>
    <row r="4" spans="2:36" ht="18" customHeight="1" x14ac:dyDescent="0.15">
      <c r="V4" s="366" t="s">
        <v>55</v>
      </c>
      <c r="W4" s="367"/>
      <c r="X4" s="367"/>
      <c r="Y4" s="367"/>
      <c r="Z4" s="374">
        <f>'産休・育休 入力'!C3</f>
        <v>0</v>
      </c>
      <c r="AA4" s="374"/>
      <c r="AB4" s="374"/>
      <c r="AC4" s="374"/>
      <c r="AD4" s="375"/>
    </row>
    <row r="5" spans="2:36" ht="18" customHeight="1" x14ac:dyDescent="0.15">
      <c r="V5" s="368" t="s">
        <v>56</v>
      </c>
      <c r="W5" s="369"/>
      <c r="X5" s="369"/>
      <c r="Y5" s="369"/>
      <c r="Z5" s="362">
        <f>'産休・育休 入力'!C4</f>
        <v>0</v>
      </c>
      <c r="AA5" s="376"/>
      <c r="AB5" s="376"/>
      <c r="AC5" s="376"/>
      <c r="AD5" s="377"/>
    </row>
    <row r="6" spans="2:36" ht="13.5" customHeight="1" x14ac:dyDescent="0.15"/>
    <row r="7" spans="2:36" ht="18" customHeight="1" x14ac:dyDescent="0.15">
      <c r="B7" s="47" t="str">
        <f>"職名："&amp;'産休・育休 入力'!C5&amp;"　　氏名："&amp;'産休・育休 入力'!C6&amp;"　にかかる除算期間等の計算"</f>
        <v>職名：　　氏名：　にかかる除算期間等の計算</v>
      </c>
    </row>
    <row r="8" spans="2:36" ht="13.5" customHeight="1" x14ac:dyDescent="0.15"/>
    <row r="9" spans="2:36" ht="18" customHeight="1" x14ac:dyDescent="0.15">
      <c r="B9" s="47" t="s">
        <v>116</v>
      </c>
    </row>
    <row r="10" spans="2:36" ht="9" customHeight="1" x14ac:dyDescent="0.15"/>
    <row r="11" spans="2:36" ht="18" customHeight="1" x14ac:dyDescent="0.15">
      <c r="C11" s="357">
        <f>IF('産休・育休 入力'!C8="","平成  年  月  日",'産休・育休 入力'!C8)</f>
        <v>41773</v>
      </c>
      <c r="D11" s="357"/>
      <c r="E11" s="357"/>
      <c r="F11" s="357"/>
      <c r="G11" s="357"/>
      <c r="H11" s="357"/>
      <c r="I11" s="357"/>
      <c r="J11" s="48" t="s">
        <v>25</v>
      </c>
      <c r="K11" s="357">
        <f>IF('産休・育休 入力'!E8="","平成　年　月　日",'産休・育休 入力'!E8)</f>
        <v>41876</v>
      </c>
      <c r="L11" s="357"/>
      <c r="M11" s="357"/>
      <c r="N11" s="357"/>
      <c r="O11" s="357"/>
      <c r="P11" s="357"/>
      <c r="Q11" s="357"/>
    </row>
    <row r="12" spans="2:36" ht="13.5" customHeight="1" x14ac:dyDescent="0.15"/>
    <row r="13" spans="2:36" ht="13.5" customHeight="1" x14ac:dyDescent="0.15">
      <c r="B13" s="47" t="s">
        <v>117</v>
      </c>
    </row>
    <row r="14" spans="2:36" ht="9" customHeight="1" x14ac:dyDescent="0.15"/>
    <row r="15" spans="2:36" ht="18" customHeight="1" x14ac:dyDescent="0.15">
      <c r="C15" s="357">
        <f>IF('産休・育休 入力'!C9="","平成  年  月  日",'産休・育休 入力'!C9)</f>
        <v>41877</v>
      </c>
      <c r="D15" s="357"/>
      <c r="E15" s="357"/>
      <c r="F15" s="357"/>
      <c r="G15" s="357"/>
      <c r="H15" s="357"/>
      <c r="I15" s="357"/>
      <c r="J15" s="48" t="s">
        <v>25</v>
      </c>
      <c r="K15" s="357">
        <f>IF('産休・育休 入力'!E9="","平成　年　月　日",'産休・育休 入力'!E9)</f>
        <v>42453</v>
      </c>
      <c r="L15" s="357"/>
      <c r="M15" s="357"/>
      <c r="N15" s="357"/>
      <c r="O15" s="357"/>
      <c r="P15" s="357"/>
      <c r="Q15" s="357"/>
    </row>
    <row r="16" spans="2:36" ht="18" customHeight="1" x14ac:dyDescent="0.15">
      <c r="C16" s="46"/>
      <c r="D16" s="57" t="str">
        <f ca="1">IF('産休・育休 TEMP'!$C$3=TRUE,"全期間育児休業取得","")</f>
        <v/>
      </c>
      <c r="E16" s="46"/>
      <c r="F16" s="46"/>
      <c r="G16" s="46"/>
      <c r="H16" s="46"/>
      <c r="I16" s="46"/>
      <c r="J16" s="48"/>
      <c r="K16" s="56" t="str">
        <f ca="1">IF('産休・育休 TEMP'!$C$3=TRUE,"期末手当期間率 0/100　勤勉手当期間率 0/100　※総原資からも除く","")</f>
        <v/>
      </c>
      <c r="L16" s="46"/>
      <c r="M16" s="46"/>
      <c r="N16" s="46"/>
      <c r="O16" s="46"/>
      <c r="P16" s="46"/>
      <c r="Q16" s="46"/>
    </row>
    <row r="17" spans="2:21" ht="13.5" customHeight="1" x14ac:dyDescent="0.15">
      <c r="C17" s="46"/>
      <c r="D17" s="46"/>
      <c r="E17" s="46"/>
      <c r="F17" s="46"/>
      <c r="G17" s="46"/>
      <c r="H17" s="46"/>
      <c r="I17" s="46"/>
      <c r="J17" s="48"/>
      <c r="K17" s="46"/>
      <c r="L17" s="46"/>
      <c r="M17" s="46"/>
      <c r="N17" s="46"/>
      <c r="O17" s="46"/>
      <c r="P17" s="46"/>
      <c r="Q17" s="46"/>
    </row>
    <row r="18" spans="2:21" ht="18" customHeight="1" x14ac:dyDescent="0.15">
      <c r="B18" s="47" t="s">
        <v>119</v>
      </c>
      <c r="C18" s="46"/>
      <c r="D18" s="46"/>
      <c r="E18" s="46"/>
      <c r="F18" s="46"/>
      <c r="G18" s="46"/>
      <c r="H18" s="46"/>
      <c r="I18" s="46"/>
      <c r="J18" s="48"/>
      <c r="K18" s="46"/>
      <c r="L18" s="46"/>
      <c r="M18" s="46"/>
      <c r="N18" s="46"/>
      <c r="O18" s="46"/>
      <c r="P18" s="46"/>
      <c r="Q18" s="46"/>
    </row>
    <row r="19" spans="2:21" ht="9" customHeight="1" x14ac:dyDescent="0.15">
      <c r="C19" s="46"/>
      <c r="D19" s="46"/>
      <c r="E19" s="46"/>
      <c r="F19" s="46"/>
      <c r="G19" s="46"/>
      <c r="H19" s="46"/>
      <c r="I19" s="46"/>
      <c r="J19" s="48"/>
      <c r="K19" s="46"/>
      <c r="L19" s="46"/>
      <c r="M19" s="46"/>
      <c r="N19" s="46"/>
      <c r="O19" s="46"/>
      <c r="P19" s="46"/>
      <c r="Q19" s="46"/>
    </row>
    <row r="20" spans="2:21" ht="18" customHeight="1" x14ac:dyDescent="0.15">
      <c r="C20" s="357" t="str">
        <f ca="1">IF(OR('産休・育休 入力'!C9="",S20=0),"",IF('産休・育休 入力'!$B$2=6,'産休・育休 TEMP'!G5,'産休・育休 TEMP'!I5))</f>
        <v/>
      </c>
      <c r="D20" s="357"/>
      <c r="E20" s="357"/>
      <c r="F20" s="357"/>
      <c r="G20" s="357"/>
      <c r="H20" s="357"/>
      <c r="I20" s="357"/>
      <c r="J20" s="48" t="s">
        <v>25</v>
      </c>
      <c r="K20" s="357" t="str">
        <f ca="1">IF(OR('産休・育休 入力'!E9="",S20=0),"",IF('産休・育休 入力'!$B$2=6,'産休・育休 TEMP'!H5,'産休・育休 TEMP'!J5))</f>
        <v/>
      </c>
      <c r="L20" s="357"/>
      <c r="M20" s="357"/>
      <c r="N20" s="357"/>
      <c r="O20" s="357"/>
      <c r="P20" s="357"/>
      <c r="Q20" s="357"/>
      <c r="S20" s="358">
        <f ca="1">'産休・育休 TEMP'!C5</f>
        <v>0</v>
      </c>
      <c r="T20" s="358"/>
      <c r="U20" s="47" t="s">
        <v>70</v>
      </c>
    </row>
    <row r="21" spans="2:21" ht="18" customHeight="1" x14ac:dyDescent="0.15">
      <c r="C21" s="357" t="str">
        <f ca="1">IF(OR('産休・育休 入力'!C9="",S21=0),"",IF('産休・育休 入力'!$B$2=6,'産休・育休 TEMP'!G6,'産休・育休 TEMP'!I6))</f>
        <v/>
      </c>
      <c r="D21" s="357"/>
      <c r="E21" s="357"/>
      <c r="F21" s="357"/>
      <c r="G21" s="357"/>
      <c r="H21" s="357"/>
      <c r="I21" s="357"/>
      <c r="J21" s="48" t="s">
        <v>25</v>
      </c>
      <c r="K21" s="357" t="str">
        <f ca="1">IF(AND(S20&gt;0,S21=0),K20,IF(OR('産休・育休 入力'!E9="",S21=0),"",IF('産休・育休 入力'!$B$2=6,'産休・育休 TEMP'!H6,'産休・育休 TEMP'!J6)))</f>
        <v/>
      </c>
      <c r="L21" s="357"/>
      <c r="M21" s="357"/>
      <c r="N21" s="357"/>
      <c r="O21" s="357"/>
      <c r="P21" s="357"/>
      <c r="Q21" s="357"/>
      <c r="S21" s="358">
        <f ca="1">'産休・育休 TEMP'!C6</f>
        <v>0</v>
      </c>
      <c r="T21" s="358"/>
      <c r="U21" s="47" t="s">
        <v>64</v>
      </c>
    </row>
    <row r="22" spans="2:21" ht="18" customHeight="1" x14ac:dyDescent="0.15">
      <c r="C22" s="46"/>
      <c r="D22" s="46"/>
      <c r="E22" s="46"/>
      <c r="F22" s="46"/>
      <c r="G22" s="46"/>
      <c r="H22" s="46"/>
      <c r="I22" s="46"/>
      <c r="J22" s="48"/>
      <c r="K22" s="46"/>
      <c r="L22" s="46"/>
      <c r="M22" s="46"/>
      <c r="N22" s="46"/>
      <c r="O22" s="46"/>
      <c r="P22" s="46"/>
      <c r="Q22" s="46"/>
    </row>
    <row r="23" spans="2:21" s="54" customFormat="1" ht="18" customHeight="1" x14ac:dyDescent="0.15">
      <c r="B23" s="54" t="s">
        <v>120</v>
      </c>
      <c r="C23" s="53"/>
      <c r="D23" s="53"/>
      <c r="E23" s="53"/>
      <c r="F23" s="53"/>
      <c r="G23" s="53"/>
      <c r="H23" s="53"/>
      <c r="I23" s="53"/>
      <c r="J23" s="55"/>
      <c r="K23" s="53"/>
      <c r="L23" s="53"/>
      <c r="M23" s="53"/>
      <c r="N23" s="53"/>
      <c r="O23" s="53"/>
      <c r="P23" s="53"/>
      <c r="Q23" s="53"/>
    </row>
    <row r="24" spans="2:21" s="54" customFormat="1" ht="9" customHeight="1" x14ac:dyDescent="0.15">
      <c r="C24" s="53"/>
      <c r="D24" s="53"/>
      <c r="E24" s="53"/>
      <c r="F24" s="53"/>
      <c r="G24" s="53"/>
      <c r="H24" s="53"/>
      <c r="I24" s="53"/>
      <c r="J24" s="55"/>
      <c r="K24" s="53"/>
      <c r="L24" s="53"/>
      <c r="M24" s="53"/>
      <c r="N24" s="53"/>
      <c r="O24" s="53"/>
      <c r="P24" s="53"/>
      <c r="Q24" s="53"/>
    </row>
    <row r="25" spans="2:21" s="54" customFormat="1" ht="18" customHeight="1" x14ac:dyDescent="0.15">
      <c r="C25" s="58" t="s">
        <v>121</v>
      </c>
      <c r="D25" s="53"/>
      <c r="E25" s="53"/>
      <c r="F25" s="53"/>
      <c r="G25" s="33">
        <f ca="1">S20</f>
        <v>0</v>
      </c>
      <c r="H25" s="54" t="s">
        <v>70</v>
      </c>
      <c r="I25" s="33">
        <f ca="1">S21</f>
        <v>0</v>
      </c>
      <c r="J25" s="54" t="s">
        <v>64</v>
      </c>
      <c r="K25" s="55" t="s">
        <v>122</v>
      </c>
      <c r="L25" s="62" t="s">
        <v>123</v>
      </c>
      <c r="M25" s="63"/>
      <c r="N25" s="61" t="s">
        <v>124</v>
      </c>
      <c r="O25" s="64">
        <f ca="1">'産休・育休 TEMP'!C8</f>
        <v>0</v>
      </c>
      <c r="P25" s="53" t="s">
        <v>129</v>
      </c>
      <c r="Q25" s="373">
        <f ca="1">'産休・育休 TEMP'!C9</f>
        <v>0</v>
      </c>
      <c r="R25" s="373"/>
      <c r="S25" s="54" t="s">
        <v>130</v>
      </c>
    </row>
    <row r="26" spans="2:21" s="60" customFormat="1" ht="18" customHeight="1" x14ac:dyDescent="0.15">
      <c r="C26" s="65" t="s">
        <v>144</v>
      </c>
      <c r="D26" s="59"/>
      <c r="E26" s="59"/>
      <c r="F26" s="59"/>
      <c r="G26" s="33">
        <v>6</v>
      </c>
      <c r="H26" s="33" t="s">
        <v>70</v>
      </c>
      <c r="I26" s="54" t="s">
        <v>62</v>
      </c>
      <c r="J26" s="66">
        <f ca="1">O25</f>
        <v>0</v>
      </c>
      <c r="K26" s="59" t="s">
        <v>129</v>
      </c>
      <c r="L26" s="373">
        <f ca="1">Q25</f>
        <v>0</v>
      </c>
      <c r="M26" s="373"/>
      <c r="N26" s="54" t="s">
        <v>130</v>
      </c>
      <c r="O26" s="61" t="s">
        <v>124</v>
      </c>
      <c r="P26" s="64">
        <f ca="1">'産休・育休 TEMP'!C11</f>
        <v>6</v>
      </c>
      <c r="Q26" s="53" t="s">
        <v>129</v>
      </c>
      <c r="R26" s="378">
        <f ca="1">'産休・育休 TEMP'!C12</f>
        <v>0</v>
      </c>
      <c r="S26" s="378"/>
      <c r="T26" s="54" t="s">
        <v>130</v>
      </c>
    </row>
    <row r="27" spans="2:21" s="60" customFormat="1" ht="18" customHeight="1" thickBot="1" x14ac:dyDescent="0.2">
      <c r="C27" s="69" t="str">
        <f ca="1">期間率!G9</f>
        <v>６ヶ月</v>
      </c>
      <c r="D27" s="70"/>
      <c r="E27" s="70"/>
      <c r="F27" s="70"/>
      <c r="G27" s="70"/>
      <c r="H27" s="70"/>
      <c r="I27" s="70"/>
      <c r="J27" s="71" t="s">
        <v>152</v>
      </c>
      <c r="K27" s="70"/>
      <c r="L27" s="70"/>
      <c r="M27" s="70"/>
      <c r="N27" s="70"/>
      <c r="O27" s="70"/>
      <c r="P27" s="72">
        <f ca="1">期間率!H9</f>
        <v>100</v>
      </c>
      <c r="Q27" s="70"/>
      <c r="R27" s="70"/>
    </row>
    <row r="28" spans="2:21" s="68" customFormat="1" ht="18" customHeight="1" thickTop="1" x14ac:dyDescent="0.15">
      <c r="C28" s="65"/>
      <c r="D28" s="65"/>
      <c r="E28" s="65"/>
      <c r="F28" s="65"/>
      <c r="G28" s="65"/>
      <c r="H28" s="65"/>
      <c r="I28" s="65"/>
      <c r="K28" s="65"/>
      <c r="L28" s="65"/>
      <c r="M28" s="65"/>
      <c r="N28" s="65"/>
      <c r="O28" s="65"/>
      <c r="P28" s="65"/>
      <c r="Q28" s="65"/>
    </row>
    <row r="29" spans="2:21" s="68" customFormat="1" ht="18" customHeight="1" x14ac:dyDescent="0.15">
      <c r="B29" s="68" t="s">
        <v>141</v>
      </c>
      <c r="C29" s="65"/>
      <c r="D29" s="65"/>
      <c r="E29" s="65"/>
      <c r="F29" s="65"/>
      <c r="G29" s="65"/>
      <c r="H29" s="65"/>
      <c r="I29" s="65"/>
      <c r="K29" s="65"/>
      <c r="L29" s="65"/>
      <c r="M29" s="65"/>
      <c r="N29" s="65"/>
      <c r="O29" s="65"/>
      <c r="P29" s="65"/>
      <c r="Q29" s="65"/>
    </row>
    <row r="30" spans="2:21" s="68" customFormat="1" ht="9" customHeight="1" x14ac:dyDescent="0.15">
      <c r="C30" s="65"/>
      <c r="D30" s="65"/>
      <c r="E30" s="65"/>
      <c r="F30" s="65"/>
      <c r="G30" s="65"/>
      <c r="H30" s="65"/>
      <c r="I30" s="65"/>
      <c r="K30" s="65"/>
      <c r="L30" s="65"/>
      <c r="M30" s="65"/>
      <c r="N30" s="65"/>
      <c r="O30" s="65"/>
      <c r="P30" s="65"/>
      <c r="Q30" s="65"/>
    </row>
    <row r="31" spans="2:21" s="68" customFormat="1" ht="18" customHeight="1" x14ac:dyDescent="0.15">
      <c r="C31" s="65" t="s">
        <v>131</v>
      </c>
      <c r="D31" s="65"/>
      <c r="E31" s="65"/>
      <c r="F31" s="65"/>
      <c r="G31" s="33">
        <v>6</v>
      </c>
      <c r="H31" s="33" t="s">
        <v>70</v>
      </c>
      <c r="I31" s="54" t="s">
        <v>62</v>
      </c>
      <c r="J31" s="66">
        <f ca="1">'産休・育休 TEMP'!C18</f>
        <v>0</v>
      </c>
      <c r="K31" s="59" t="s">
        <v>129</v>
      </c>
      <c r="L31" s="373">
        <f ca="1">'産休・育休 TEMP'!C19</f>
        <v>0</v>
      </c>
      <c r="M31" s="373"/>
      <c r="N31" s="54" t="s">
        <v>130</v>
      </c>
      <c r="O31" s="61" t="s">
        <v>124</v>
      </c>
      <c r="P31" s="64">
        <f ca="1">'産休・育休 TEMP'!C21</f>
        <v>6</v>
      </c>
      <c r="Q31" s="53" t="s">
        <v>129</v>
      </c>
      <c r="R31" s="378">
        <f ca="1">'産休・育休 TEMP'!C22</f>
        <v>0</v>
      </c>
      <c r="S31" s="378"/>
      <c r="T31" s="54" t="s">
        <v>130</v>
      </c>
    </row>
    <row r="32" spans="2:21" s="68" customFormat="1" ht="18" customHeight="1" x14ac:dyDescent="0.15">
      <c r="C32" s="67" t="str">
        <f ca="1">'産休・育休 TEMP'!C26</f>
        <v/>
      </c>
      <c r="D32" s="65"/>
      <c r="E32" s="65"/>
      <c r="F32" s="65"/>
      <c r="G32" s="65"/>
      <c r="H32" s="65"/>
      <c r="I32" s="65"/>
      <c r="K32" s="65"/>
      <c r="L32" s="65"/>
      <c r="M32" s="65"/>
      <c r="N32" s="65"/>
      <c r="O32" s="65"/>
      <c r="P32" s="65"/>
      <c r="Q32" s="65"/>
    </row>
    <row r="33" spans="3:19" s="60" customFormat="1" ht="18" customHeight="1" thickBot="1" x14ac:dyDescent="0.2">
      <c r="C33" s="69" t="str">
        <f ca="1">期間率!C19</f>
        <v>６ヶ月</v>
      </c>
      <c r="D33" s="70"/>
      <c r="E33" s="70"/>
      <c r="F33" s="70"/>
      <c r="G33" s="70"/>
      <c r="H33" s="70"/>
      <c r="I33" s="70"/>
      <c r="J33" s="70"/>
      <c r="K33" s="70"/>
      <c r="L33" s="71" t="s">
        <v>100</v>
      </c>
      <c r="M33" s="70"/>
      <c r="N33" s="70"/>
      <c r="O33" s="70"/>
      <c r="P33" s="70"/>
      <c r="Q33" s="72">
        <f ca="1">期間率!D19</f>
        <v>100</v>
      </c>
      <c r="R33" s="70"/>
      <c r="S33" s="70"/>
    </row>
    <row r="34" spans="3:19" ht="18" customHeight="1" thickTop="1" x14ac:dyDescent="0.15"/>
  </sheetData>
  <mergeCells count="20">
    <mergeCell ref="L26:M26"/>
    <mergeCell ref="R26:S26"/>
    <mergeCell ref="L31:M31"/>
    <mergeCell ref="R31:S31"/>
    <mergeCell ref="C20:I20"/>
    <mergeCell ref="K20:Q20"/>
    <mergeCell ref="S20:T20"/>
    <mergeCell ref="C21:I21"/>
    <mergeCell ref="K21:Q21"/>
    <mergeCell ref="S21:T21"/>
    <mergeCell ref="C11:I11"/>
    <mergeCell ref="K11:Q11"/>
    <mergeCell ref="Q25:R25"/>
    <mergeCell ref="B2:AD2"/>
    <mergeCell ref="V4:Y4"/>
    <mergeCell ref="Z4:AD4"/>
    <mergeCell ref="V5:Y5"/>
    <mergeCell ref="Z5:AD5"/>
    <mergeCell ref="C15:I15"/>
    <mergeCell ref="K15:Q15"/>
  </mergeCells>
  <phoneticPr fontId="2"/>
  <printOptions horizontalCentered="1"/>
  <pageMargins left="1.1811023622047245" right="0.39370078740157483" top="0.59055118110236227" bottom="0.59055118110236227" header="0" footer="0"/>
  <pageSetup paperSize="9" orientation="portrait" errors="blank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B2:AL138"/>
  <sheetViews>
    <sheetView showGridLines="0" workbookViewId="0"/>
  </sheetViews>
  <sheetFormatPr defaultRowHeight="14.25" x14ac:dyDescent="0.15"/>
  <cols>
    <col min="1" max="1" width="2.375" style="74" customWidth="1"/>
    <col min="2" max="13" width="2.625" style="74" customWidth="1"/>
    <col min="14" max="14" width="2.625" style="75" customWidth="1"/>
    <col min="15" max="76" width="2.625" style="74" customWidth="1"/>
    <col min="77" max="257" width="9" style="74"/>
    <col min="258" max="332" width="2.625" style="74" customWidth="1"/>
    <col min="333" max="513" width="9" style="74"/>
    <col min="514" max="588" width="2.625" style="74" customWidth="1"/>
    <col min="589" max="769" width="9" style="74"/>
    <col min="770" max="844" width="2.625" style="74" customWidth="1"/>
    <col min="845" max="1025" width="9" style="74"/>
    <col min="1026" max="1100" width="2.625" style="74" customWidth="1"/>
    <col min="1101" max="1281" width="9" style="74"/>
    <col min="1282" max="1356" width="2.625" style="74" customWidth="1"/>
    <col min="1357" max="1537" width="9" style="74"/>
    <col min="1538" max="1612" width="2.625" style="74" customWidth="1"/>
    <col min="1613" max="1793" width="9" style="74"/>
    <col min="1794" max="1868" width="2.625" style="74" customWidth="1"/>
    <col min="1869" max="2049" width="9" style="74"/>
    <col min="2050" max="2124" width="2.625" style="74" customWidth="1"/>
    <col min="2125" max="2305" width="9" style="74"/>
    <col min="2306" max="2380" width="2.625" style="74" customWidth="1"/>
    <col min="2381" max="2561" width="9" style="74"/>
    <col min="2562" max="2636" width="2.625" style="74" customWidth="1"/>
    <col min="2637" max="2817" width="9" style="74"/>
    <col min="2818" max="2892" width="2.625" style="74" customWidth="1"/>
    <col min="2893" max="3073" width="9" style="74"/>
    <col min="3074" max="3148" width="2.625" style="74" customWidth="1"/>
    <col min="3149" max="3329" width="9" style="74"/>
    <col min="3330" max="3404" width="2.625" style="74" customWidth="1"/>
    <col min="3405" max="3585" width="9" style="74"/>
    <col min="3586" max="3660" width="2.625" style="74" customWidth="1"/>
    <col min="3661" max="3841" width="9" style="74"/>
    <col min="3842" max="3916" width="2.625" style="74" customWidth="1"/>
    <col min="3917" max="4097" width="9" style="74"/>
    <col min="4098" max="4172" width="2.625" style="74" customWidth="1"/>
    <col min="4173" max="4353" width="9" style="74"/>
    <col min="4354" max="4428" width="2.625" style="74" customWidth="1"/>
    <col min="4429" max="4609" width="9" style="74"/>
    <col min="4610" max="4684" width="2.625" style="74" customWidth="1"/>
    <col min="4685" max="4865" width="9" style="74"/>
    <col min="4866" max="4940" width="2.625" style="74" customWidth="1"/>
    <col min="4941" max="5121" width="9" style="74"/>
    <col min="5122" max="5196" width="2.625" style="74" customWidth="1"/>
    <col min="5197" max="5377" width="9" style="74"/>
    <col min="5378" max="5452" width="2.625" style="74" customWidth="1"/>
    <col min="5453" max="5633" width="9" style="74"/>
    <col min="5634" max="5708" width="2.625" style="74" customWidth="1"/>
    <col min="5709" max="5889" width="9" style="74"/>
    <col min="5890" max="5964" width="2.625" style="74" customWidth="1"/>
    <col min="5965" max="6145" width="9" style="74"/>
    <col min="6146" max="6220" width="2.625" style="74" customWidth="1"/>
    <col min="6221" max="6401" width="9" style="74"/>
    <col min="6402" max="6476" width="2.625" style="74" customWidth="1"/>
    <col min="6477" max="6657" width="9" style="74"/>
    <col min="6658" max="6732" width="2.625" style="74" customWidth="1"/>
    <col min="6733" max="6913" width="9" style="74"/>
    <col min="6914" max="6988" width="2.625" style="74" customWidth="1"/>
    <col min="6989" max="7169" width="9" style="74"/>
    <col min="7170" max="7244" width="2.625" style="74" customWidth="1"/>
    <col min="7245" max="7425" width="9" style="74"/>
    <col min="7426" max="7500" width="2.625" style="74" customWidth="1"/>
    <col min="7501" max="7681" width="9" style="74"/>
    <col min="7682" max="7756" width="2.625" style="74" customWidth="1"/>
    <col min="7757" max="7937" width="9" style="74"/>
    <col min="7938" max="8012" width="2.625" style="74" customWidth="1"/>
    <col min="8013" max="8193" width="9" style="74"/>
    <col min="8194" max="8268" width="2.625" style="74" customWidth="1"/>
    <col min="8269" max="8449" width="9" style="74"/>
    <col min="8450" max="8524" width="2.625" style="74" customWidth="1"/>
    <col min="8525" max="8705" width="9" style="74"/>
    <col min="8706" max="8780" width="2.625" style="74" customWidth="1"/>
    <col min="8781" max="8961" width="9" style="74"/>
    <col min="8962" max="9036" width="2.625" style="74" customWidth="1"/>
    <col min="9037" max="9217" width="9" style="74"/>
    <col min="9218" max="9292" width="2.625" style="74" customWidth="1"/>
    <col min="9293" max="9473" width="9" style="74"/>
    <col min="9474" max="9548" width="2.625" style="74" customWidth="1"/>
    <col min="9549" max="9729" width="9" style="74"/>
    <col min="9730" max="9804" width="2.625" style="74" customWidth="1"/>
    <col min="9805" max="9985" width="9" style="74"/>
    <col min="9986" max="10060" width="2.625" style="74" customWidth="1"/>
    <col min="10061" max="10241" width="9" style="74"/>
    <col min="10242" max="10316" width="2.625" style="74" customWidth="1"/>
    <col min="10317" max="10497" width="9" style="74"/>
    <col min="10498" max="10572" width="2.625" style="74" customWidth="1"/>
    <col min="10573" max="10753" width="9" style="74"/>
    <col min="10754" max="10828" width="2.625" style="74" customWidth="1"/>
    <col min="10829" max="11009" width="9" style="74"/>
    <col min="11010" max="11084" width="2.625" style="74" customWidth="1"/>
    <col min="11085" max="11265" width="9" style="74"/>
    <col min="11266" max="11340" width="2.625" style="74" customWidth="1"/>
    <col min="11341" max="11521" width="9" style="74"/>
    <col min="11522" max="11596" width="2.625" style="74" customWidth="1"/>
    <col min="11597" max="11777" width="9" style="74"/>
    <col min="11778" max="11852" width="2.625" style="74" customWidth="1"/>
    <col min="11853" max="12033" width="9" style="74"/>
    <col min="12034" max="12108" width="2.625" style="74" customWidth="1"/>
    <col min="12109" max="12289" width="9" style="74"/>
    <col min="12290" max="12364" width="2.625" style="74" customWidth="1"/>
    <col min="12365" max="12545" width="9" style="74"/>
    <col min="12546" max="12620" width="2.625" style="74" customWidth="1"/>
    <col min="12621" max="12801" width="9" style="74"/>
    <col min="12802" max="12876" width="2.625" style="74" customWidth="1"/>
    <col min="12877" max="13057" width="9" style="74"/>
    <col min="13058" max="13132" width="2.625" style="74" customWidth="1"/>
    <col min="13133" max="13313" width="9" style="74"/>
    <col min="13314" max="13388" width="2.625" style="74" customWidth="1"/>
    <col min="13389" max="13569" width="9" style="74"/>
    <col min="13570" max="13644" width="2.625" style="74" customWidth="1"/>
    <col min="13645" max="13825" width="9" style="74"/>
    <col min="13826" max="13900" width="2.625" style="74" customWidth="1"/>
    <col min="13901" max="14081" width="9" style="74"/>
    <col min="14082" max="14156" width="2.625" style="74" customWidth="1"/>
    <col min="14157" max="14337" width="9" style="74"/>
    <col min="14338" max="14412" width="2.625" style="74" customWidth="1"/>
    <col min="14413" max="14593" width="9" style="74"/>
    <col min="14594" max="14668" width="2.625" style="74" customWidth="1"/>
    <col min="14669" max="14849" width="9" style="74"/>
    <col min="14850" max="14924" width="2.625" style="74" customWidth="1"/>
    <col min="14925" max="15105" width="9" style="74"/>
    <col min="15106" max="15180" width="2.625" style="74" customWidth="1"/>
    <col min="15181" max="15361" width="9" style="74"/>
    <col min="15362" max="15436" width="2.625" style="74" customWidth="1"/>
    <col min="15437" max="15617" width="9" style="74"/>
    <col min="15618" max="15692" width="2.625" style="74" customWidth="1"/>
    <col min="15693" max="15873" width="9" style="74"/>
    <col min="15874" max="15948" width="2.625" style="74" customWidth="1"/>
    <col min="15949" max="16129" width="9" style="74"/>
    <col min="16130" max="16204" width="2.625" style="74" customWidth="1"/>
    <col min="16205" max="16384" width="9" style="74"/>
  </cols>
  <sheetData>
    <row r="2" spans="2:38" ht="17.25" x14ac:dyDescent="0.15">
      <c r="C2" s="342" t="str">
        <f ca="1">"平成"&amp;TEXT(TODAY(),"e")&amp;"年"&amp;'産休・育休 入力'!B2&amp;"月　期末勤勉手当に係る除算期間内訳書"</f>
        <v>平成28年月　期末勤勉手当に係る除算期間内訳書</v>
      </c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2"/>
      <c r="Z2" s="342"/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2"/>
      <c r="AL2" s="342"/>
    </row>
    <row r="3" spans="2:38" x14ac:dyDescent="0.15">
      <c r="N3" s="74"/>
      <c r="O3" s="75"/>
    </row>
    <row r="4" spans="2:38" x14ac:dyDescent="0.15">
      <c r="N4" s="74"/>
      <c r="O4" s="75"/>
    </row>
    <row r="5" spans="2:38" ht="24.95" customHeight="1" x14ac:dyDescent="0.15">
      <c r="C5" s="222" t="s">
        <v>154</v>
      </c>
      <c r="D5" s="223"/>
      <c r="E5" s="223"/>
      <c r="F5" s="223"/>
      <c r="G5" s="223"/>
      <c r="H5" s="274"/>
      <c r="I5" s="345">
        <f>'産休・育休 入力'!C3</f>
        <v>0</v>
      </c>
      <c r="J5" s="223"/>
      <c r="K5" s="223"/>
      <c r="L5" s="223"/>
      <c r="M5" s="223"/>
      <c r="N5" s="223"/>
      <c r="O5" s="223"/>
      <c r="P5" s="223"/>
      <c r="Q5" s="223"/>
      <c r="R5" s="274"/>
      <c r="S5" s="351" t="s">
        <v>155</v>
      </c>
      <c r="T5" s="352"/>
      <c r="U5" s="352"/>
      <c r="V5" s="352"/>
      <c r="W5" s="353"/>
      <c r="X5" s="76"/>
      <c r="Y5" s="224">
        <f>'産休・育休 入力'!C5</f>
        <v>0</v>
      </c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77"/>
    </row>
    <row r="6" spans="2:38" ht="24.95" customHeight="1" x14ac:dyDescent="0.15">
      <c r="C6" s="343"/>
      <c r="D6" s="321"/>
      <c r="E6" s="321"/>
      <c r="F6" s="321"/>
      <c r="G6" s="321"/>
      <c r="H6" s="344"/>
      <c r="I6" s="343"/>
      <c r="J6" s="321"/>
      <c r="K6" s="321"/>
      <c r="L6" s="321"/>
      <c r="M6" s="321"/>
      <c r="N6" s="321"/>
      <c r="O6" s="321"/>
      <c r="P6" s="321"/>
      <c r="Q6" s="321"/>
      <c r="R6" s="344"/>
      <c r="S6" s="354" t="s">
        <v>156</v>
      </c>
      <c r="T6" s="355"/>
      <c r="U6" s="355"/>
      <c r="V6" s="355"/>
      <c r="W6" s="356"/>
      <c r="X6" s="78"/>
      <c r="Y6" s="226">
        <f>'産休・育休 入力'!C6</f>
        <v>0</v>
      </c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79"/>
    </row>
    <row r="7" spans="2:38" ht="24.95" customHeight="1" x14ac:dyDescent="0.15">
      <c r="C7" s="332" t="s">
        <v>157</v>
      </c>
      <c r="D7" s="333"/>
      <c r="E7" s="333"/>
      <c r="F7" s="333"/>
      <c r="G7" s="333"/>
      <c r="H7" s="334"/>
      <c r="I7" s="228">
        <f>'産休・育休 入力'!C4</f>
        <v>0</v>
      </c>
      <c r="J7" s="229"/>
      <c r="K7" s="229"/>
      <c r="L7" s="229"/>
      <c r="M7" s="229"/>
      <c r="N7" s="229"/>
      <c r="O7" s="229"/>
      <c r="P7" s="229"/>
      <c r="Q7" s="229"/>
      <c r="R7" s="335"/>
      <c r="S7" s="336" t="s">
        <v>158</v>
      </c>
      <c r="T7" s="337"/>
      <c r="U7" s="337"/>
      <c r="V7" s="337"/>
      <c r="W7" s="338"/>
      <c r="X7" s="80"/>
      <c r="Y7" s="228">
        <f>'産休・育休 入力'!C7</f>
        <v>0</v>
      </c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81"/>
    </row>
    <row r="8" spans="2:38" ht="30" customHeight="1" x14ac:dyDescent="0.15">
      <c r="C8" s="417" t="s">
        <v>159</v>
      </c>
      <c r="D8" s="418"/>
      <c r="E8" s="418"/>
      <c r="F8" s="418"/>
      <c r="G8" s="418"/>
      <c r="H8" s="418"/>
      <c r="I8" s="418"/>
      <c r="J8" s="419"/>
      <c r="K8" s="413" t="str">
        <f>'産休・育休 入力'!C10</f>
        <v>育児休業</v>
      </c>
      <c r="L8" s="414"/>
      <c r="M8" s="414"/>
      <c r="N8" s="414"/>
      <c r="O8" s="414"/>
      <c r="P8" s="414"/>
      <c r="Q8" s="156" t="s">
        <v>209</v>
      </c>
      <c r="R8" s="412" t="s">
        <v>211</v>
      </c>
      <c r="S8" s="412"/>
      <c r="T8" s="412"/>
      <c r="U8" s="412"/>
      <c r="V8" s="412"/>
      <c r="W8" s="411">
        <f>IF('産休・育休 入力'!C8=0,"",'産休・育休 入力'!C8)</f>
        <v>41773</v>
      </c>
      <c r="X8" s="411"/>
      <c r="Y8" s="411"/>
      <c r="Z8" s="411"/>
      <c r="AA8" s="411"/>
      <c r="AB8" s="411"/>
      <c r="AC8" s="411"/>
      <c r="AD8" s="155" t="s">
        <v>208</v>
      </c>
      <c r="AE8" s="411">
        <f>IF('産休・育休 入力'!E8=0,"",'産休・育休 入力'!E8)</f>
        <v>41876</v>
      </c>
      <c r="AF8" s="411"/>
      <c r="AG8" s="411"/>
      <c r="AH8" s="411"/>
      <c r="AI8" s="411"/>
      <c r="AJ8" s="411"/>
      <c r="AK8" s="411"/>
      <c r="AL8" s="154" t="s">
        <v>207</v>
      </c>
    </row>
    <row r="9" spans="2:38" ht="30" customHeight="1" x14ac:dyDescent="0.15">
      <c r="C9" s="215" t="s">
        <v>160</v>
      </c>
      <c r="D9" s="216"/>
      <c r="E9" s="216"/>
      <c r="F9" s="216"/>
      <c r="G9" s="216"/>
      <c r="H9" s="216"/>
      <c r="I9" s="216"/>
      <c r="J9" s="217"/>
      <c r="K9" s="403">
        <f>'産休・育休 入力'!C9</f>
        <v>41877</v>
      </c>
      <c r="L9" s="404"/>
      <c r="M9" s="404"/>
      <c r="N9" s="404"/>
      <c r="O9" s="404"/>
      <c r="P9" s="404"/>
      <c r="Q9" s="404"/>
      <c r="R9" s="404"/>
      <c r="S9" s="404"/>
      <c r="T9" s="220" t="s">
        <v>161</v>
      </c>
      <c r="U9" s="220"/>
      <c r="V9" s="404">
        <f>'産休・育休 入力'!E9</f>
        <v>42453</v>
      </c>
      <c r="W9" s="404"/>
      <c r="X9" s="404"/>
      <c r="Y9" s="404"/>
      <c r="Z9" s="404"/>
      <c r="AA9" s="404"/>
      <c r="AB9" s="404"/>
      <c r="AC9" s="404"/>
      <c r="AD9" s="404"/>
      <c r="AE9" s="82"/>
      <c r="AF9" s="82"/>
      <c r="AG9" s="82"/>
      <c r="AH9" s="82"/>
      <c r="AI9" s="82"/>
      <c r="AJ9" s="82"/>
      <c r="AK9" s="82"/>
      <c r="AL9" s="83"/>
    </row>
    <row r="10" spans="2:38" ht="30" customHeight="1" x14ac:dyDescent="0.15">
      <c r="C10" s="405" t="s">
        <v>162</v>
      </c>
      <c r="D10" s="406"/>
      <c r="E10" s="406"/>
      <c r="F10" s="406"/>
      <c r="G10" s="406"/>
      <c r="H10" s="406"/>
      <c r="I10" s="406"/>
      <c r="J10" s="407"/>
      <c r="K10" s="408" t="str">
        <f ca="1">IF('産休・育休 印刷'!S20=0,'産休・育休 印刷'!C21,'産休・育休 印刷'!C20)</f>
        <v/>
      </c>
      <c r="L10" s="409"/>
      <c r="M10" s="409"/>
      <c r="N10" s="409"/>
      <c r="O10" s="409"/>
      <c r="P10" s="409"/>
      <c r="Q10" s="409"/>
      <c r="R10" s="409"/>
      <c r="S10" s="409"/>
      <c r="T10" s="410" t="s">
        <v>161</v>
      </c>
      <c r="U10" s="410"/>
      <c r="V10" s="409" t="str">
        <f ca="1">IF('産休・育休 印刷'!S20=6,'産休・育休 印刷'!K20,'産休・育休 印刷'!K21)</f>
        <v/>
      </c>
      <c r="W10" s="409"/>
      <c r="X10" s="409"/>
      <c r="Y10" s="409"/>
      <c r="Z10" s="409"/>
      <c r="AA10" s="409"/>
      <c r="AB10" s="409"/>
      <c r="AC10" s="409"/>
      <c r="AD10" s="409"/>
      <c r="AE10" s="84"/>
      <c r="AF10" s="415" t="str">
        <f ca="1">'産休・育休 印刷'!D16</f>
        <v/>
      </c>
      <c r="AG10" s="415"/>
      <c r="AH10" s="415"/>
      <c r="AI10" s="415"/>
      <c r="AJ10" s="415"/>
      <c r="AK10" s="415"/>
      <c r="AL10" s="416"/>
    </row>
    <row r="12" spans="2:38" ht="9.9499999999999993" customHeight="1" x14ac:dyDescent="0.15">
      <c r="C12" s="85"/>
      <c r="D12" s="85"/>
      <c r="E12" s="85"/>
      <c r="F12" s="85"/>
      <c r="G12" s="85"/>
      <c r="H12" s="85"/>
      <c r="I12" s="85"/>
      <c r="J12" s="86"/>
      <c r="K12" s="86"/>
      <c r="L12" s="86"/>
      <c r="M12" s="86"/>
      <c r="N12" s="86"/>
      <c r="O12" s="86"/>
      <c r="P12" s="87"/>
      <c r="Q12" s="87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8"/>
      <c r="AH12" s="88"/>
      <c r="AI12" s="88"/>
      <c r="AJ12" s="88"/>
      <c r="AK12" s="88"/>
      <c r="AL12" s="88"/>
    </row>
    <row r="13" spans="2:38" ht="20.100000000000001" customHeight="1" x14ac:dyDescent="0.15">
      <c r="B13" s="89" t="s">
        <v>163</v>
      </c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1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</row>
    <row r="14" spans="2:38" ht="9.9499999999999993" customHeight="1" x14ac:dyDescent="0.15">
      <c r="B14" s="89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1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</row>
    <row r="15" spans="2:38" ht="20.100000000000001" customHeight="1" x14ac:dyDescent="0.15">
      <c r="C15" s="222" t="s">
        <v>164</v>
      </c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74"/>
      <c r="T15" s="222" t="s">
        <v>162</v>
      </c>
      <c r="U15" s="223"/>
      <c r="V15" s="223"/>
      <c r="W15" s="223"/>
      <c r="X15" s="223"/>
      <c r="Y15" s="223"/>
      <c r="Z15" s="223"/>
      <c r="AA15" s="222" t="s">
        <v>165</v>
      </c>
      <c r="AB15" s="223"/>
      <c r="AC15" s="223"/>
      <c r="AD15" s="223"/>
      <c r="AE15" s="223"/>
      <c r="AF15" s="223"/>
      <c r="AG15" s="278" t="s">
        <v>166</v>
      </c>
      <c r="AH15" s="279"/>
      <c r="AI15" s="223"/>
      <c r="AJ15" s="223"/>
      <c r="AK15" s="223"/>
      <c r="AL15" s="274"/>
    </row>
    <row r="16" spans="2:38" ht="20.100000000000001" customHeight="1" x14ac:dyDescent="0.15">
      <c r="C16" s="275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7"/>
      <c r="T16" s="275"/>
      <c r="U16" s="276"/>
      <c r="V16" s="276"/>
      <c r="W16" s="276"/>
      <c r="X16" s="276"/>
      <c r="Y16" s="276"/>
      <c r="Z16" s="276"/>
      <c r="AA16" s="275"/>
      <c r="AB16" s="276"/>
      <c r="AC16" s="276"/>
      <c r="AD16" s="276"/>
      <c r="AE16" s="276"/>
      <c r="AF16" s="276"/>
      <c r="AG16" s="275"/>
      <c r="AH16" s="276"/>
      <c r="AI16" s="276"/>
      <c r="AJ16" s="276"/>
      <c r="AK16" s="276"/>
      <c r="AL16" s="277"/>
    </row>
    <row r="17" spans="2:38" ht="20.100000000000001" customHeight="1" x14ac:dyDescent="0.15">
      <c r="C17" s="396">
        <v>1</v>
      </c>
      <c r="D17" s="396"/>
      <c r="E17" s="396"/>
      <c r="F17" s="396"/>
      <c r="G17" s="396"/>
      <c r="H17" s="262" t="str">
        <f ca="1">IF(C17&lt;=$U$20,'産休・育休 印刷'!$C$20,"")</f>
        <v/>
      </c>
      <c r="I17" s="262"/>
      <c r="J17" s="262"/>
      <c r="K17" s="262"/>
      <c r="L17" s="263"/>
      <c r="M17" s="264" t="s">
        <v>161</v>
      </c>
      <c r="N17" s="265"/>
      <c r="O17" s="266" t="str">
        <f t="shared" ref="O17:O21" ca="1" si="0">IF(C17&lt;=$U$20,IFERROR(EDATE(H17,1)-1,""),"")</f>
        <v/>
      </c>
      <c r="P17" s="262"/>
      <c r="Q17" s="262"/>
      <c r="R17" s="262"/>
      <c r="S17" s="262"/>
      <c r="T17" s="92"/>
      <c r="U17" s="93"/>
      <c r="V17" s="93"/>
      <c r="W17" s="93"/>
      <c r="X17" s="93"/>
      <c r="Y17" s="93"/>
      <c r="Z17" s="94"/>
      <c r="AA17" s="92"/>
      <c r="AB17" s="93"/>
      <c r="AC17" s="93"/>
      <c r="AD17" s="93"/>
      <c r="AE17" s="93"/>
      <c r="AF17" s="93"/>
      <c r="AG17" s="95"/>
      <c r="AH17" s="96"/>
      <c r="AI17" s="96"/>
      <c r="AJ17" s="96"/>
      <c r="AK17" s="96"/>
      <c r="AL17" s="97"/>
    </row>
    <row r="18" spans="2:38" ht="20.100000000000001" customHeight="1" x14ac:dyDescent="0.15">
      <c r="C18" s="394">
        <v>2</v>
      </c>
      <c r="D18" s="394"/>
      <c r="E18" s="394"/>
      <c r="F18" s="394"/>
      <c r="G18" s="394"/>
      <c r="H18" s="268" t="str">
        <f t="shared" ref="H18:H21" ca="1" si="1">IF(C18&lt;=$U$20,IFERROR(EDATE(H17,1),""),"")</f>
        <v/>
      </c>
      <c r="I18" s="268"/>
      <c r="J18" s="268"/>
      <c r="K18" s="268"/>
      <c r="L18" s="269"/>
      <c r="M18" s="270" t="s">
        <v>161</v>
      </c>
      <c r="N18" s="271"/>
      <c r="O18" s="272" t="str">
        <f t="shared" ca="1" si="0"/>
        <v/>
      </c>
      <c r="P18" s="268"/>
      <c r="Q18" s="268"/>
      <c r="R18" s="268"/>
      <c r="S18" s="268"/>
      <c r="T18" s="98"/>
      <c r="U18" s="99"/>
      <c r="V18" s="99"/>
      <c r="W18" s="99"/>
      <c r="X18" s="99"/>
      <c r="Y18" s="99"/>
      <c r="Z18" s="100"/>
      <c r="AA18" s="98"/>
      <c r="AB18" s="99"/>
      <c r="AC18" s="99"/>
      <c r="AD18" s="99"/>
      <c r="AE18" s="99"/>
      <c r="AF18" s="99"/>
      <c r="AG18" s="101"/>
      <c r="AH18" s="102"/>
      <c r="AI18" s="102"/>
      <c r="AJ18" s="102"/>
      <c r="AK18" s="102"/>
      <c r="AL18" s="103"/>
    </row>
    <row r="19" spans="2:38" ht="20.100000000000001" customHeight="1" x14ac:dyDescent="0.15">
      <c r="C19" s="394">
        <v>3</v>
      </c>
      <c r="D19" s="394"/>
      <c r="E19" s="394"/>
      <c r="F19" s="394"/>
      <c r="G19" s="394"/>
      <c r="H19" s="268" t="str">
        <f t="shared" ca="1" si="1"/>
        <v/>
      </c>
      <c r="I19" s="268"/>
      <c r="J19" s="268"/>
      <c r="K19" s="268"/>
      <c r="L19" s="269"/>
      <c r="M19" s="270" t="s">
        <v>161</v>
      </c>
      <c r="N19" s="271"/>
      <c r="O19" s="272" t="str">
        <f t="shared" ca="1" si="0"/>
        <v/>
      </c>
      <c r="P19" s="268"/>
      <c r="Q19" s="268"/>
      <c r="R19" s="268"/>
      <c r="S19" s="268"/>
      <c r="T19" s="98"/>
      <c r="U19" s="99"/>
      <c r="V19" s="99"/>
      <c r="W19" s="99"/>
      <c r="X19" s="99"/>
      <c r="Y19" s="99"/>
      <c r="Z19" s="100"/>
      <c r="AA19" s="98"/>
      <c r="AB19" s="99"/>
      <c r="AC19" s="99"/>
      <c r="AD19" s="99"/>
      <c r="AE19" s="99"/>
      <c r="AF19" s="99"/>
      <c r="AG19" s="104"/>
      <c r="AH19" s="88"/>
      <c r="AI19" s="88"/>
      <c r="AJ19" s="88"/>
      <c r="AK19" s="88"/>
      <c r="AL19" s="105"/>
    </row>
    <row r="20" spans="2:38" ht="20.100000000000001" customHeight="1" x14ac:dyDescent="0.15">
      <c r="C20" s="394">
        <v>4</v>
      </c>
      <c r="D20" s="394"/>
      <c r="E20" s="394"/>
      <c r="F20" s="394"/>
      <c r="G20" s="394"/>
      <c r="H20" s="268" t="str">
        <f t="shared" ca="1" si="1"/>
        <v/>
      </c>
      <c r="I20" s="268"/>
      <c r="J20" s="268"/>
      <c r="K20" s="268"/>
      <c r="L20" s="269"/>
      <c r="M20" s="270" t="s">
        <v>161</v>
      </c>
      <c r="N20" s="271"/>
      <c r="O20" s="272" t="str">
        <f t="shared" ca="1" si="0"/>
        <v/>
      </c>
      <c r="P20" s="268"/>
      <c r="Q20" s="268"/>
      <c r="R20" s="268"/>
      <c r="S20" s="268"/>
      <c r="T20" s="98"/>
      <c r="U20" s="395">
        <f ca="1">'産休・育休 印刷'!S20</f>
        <v>0</v>
      </c>
      <c r="V20" s="395"/>
      <c r="W20" s="395"/>
      <c r="X20" s="395"/>
      <c r="Y20" s="395"/>
      <c r="Z20" s="106" t="s">
        <v>171</v>
      </c>
      <c r="AA20" s="98"/>
      <c r="AB20" s="99"/>
      <c r="AC20" s="99"/>
      <c r="AD20" s="99"/>
      <c r="AE20" s="99"/>
      <c r="AF20" s="99"/>
      <c r="AG20" s="104"/>
      <c r="AH20" s="88"/>
      <c r="AI20" s="88"/>
      <c r="AJ20" s="88"/>
      <c r="AK20" s="88"/>
      <c r="AL20" s="105"/>
    </row>
    <row r="21" spans="2:38" ht="20.100000000000001" customHeight="1" x14ac:dyDescent="0.15">
      <c r="C21" s="394">
        <v>5</v>
      </c>
      <c r="D21" s="394"/>
      <c r="E21" s="394"/>
      <c r="F21" s="394"/>
      <c r="G21" s="394"/>
      <c r="H21" s="268" t="str">
        <f t="shared" ca="1" si="1"/>
        <v/>
      </c>
      <c r="I21" s="268"/>
      <c r="J21" s="268"/>
      <c r="K21" s="268"/>
      <c r="L21" s="269"/>
      <c r="M21" s="270" t="s">
        <v>173</v>
      </c>
      <c r="N21" s="271"/>
      <c r="O21" s="272" t="str">
        <f t="shared" ca="1" si="0"/>
        <v/>
      </c>
      <c r="P21" s="268"/>
      <c r="Q21" s="268"/>
      <c r="R21" s="268"/>
      <c r="S21" s="268"/>
      <c r="T21" s="98"/>
      <c r="U21" s="99"/>
      <c r="V21" s="99"/>
      <c r="W21" s="107"/>
      <c r="X21" s="107"/>
      <c r="Y21" s="107"/>
      <c r="Z21" s="106"/>
      <c r="AA21" s="98"/>
      <c r="AB21" s="99"/>
      <c r="AC21" s="99"/>
      <c r="AD21" s="99"/>
      <c r="AE21" s="99"/>
      <c r="AF21" s="99"/>
      <c r="AG21" s="104"/>
      <c r="AH21" s="88"/>
      <c r="AI21" s="88"/>
      <c r="AJ21" s="88"/>
      <c r="AK21" s="88"/>
      <c r="AL21" s="105"/>
    </row>
    <row r="22" spans="2:38" ht="20.100000000000001" customHeight="1" x14ac:dyDescent="0.15">
      <c r="C22" s="393">
        <v>6</v>
      </c>
      <c r="D22" s="393"/>
      <c r="E22" s="393"/>
      <c r="F22" s="393"/>
      <c r="G22" s="393"/>
      <c r="H22" s="254" t="str">
        <f ca="1">IF(C22&lt;=$U$20,IFERROR(EDATE(H21,1),""),"")</f>
        <v/>
      </c>
      <c r="I22" s="254"/>
      <c r="J22" s="254"/>
      <c r="K22" s="254"/>
      <c r="L22" s="255"/>
      <c r="M22" s="256" t="s">
        <v>161</v>
      </c>
      <c r="N22" s="257"/>
      <c r="O22" s="258" t="str">
        <f ca="1">IF(C22&lt;=$U$20,IFERROR(EDATE(H22,1)-1,""),"")</f>
        <v/>
      </c>
      <c r="P22" s="254"/>
      <c r="Q22" s="254"/>
      <c r="R22" s="254"/>
      <c r="S22" s="254"/>
      <c r="T22" s="108"/>
      <c r="U22" s="109"/>
      <c r="V22" s="109"/>
      <c r="W22" s="110"/>
      <c r="X22" s="110"/>
      <c r="Y22" s="110"/>
      <c r="Z22" s="111"/>
      <c r="AA22" s="98"/>
      <c r="AB22" s="99"/>
      <c r="AC22" s="99"/>
      <c r="AD22" s="99"/>
      <c r="AE22" s="99"/>
      <c r="AF22" s="99"/>
      <c r="AG22" s="101"/>
      <c r="AH22" s="102"/>
      <c r="AI22" s="102"/>
      <c r="AJ22" s="102"/>
      <c r="AK22" s="102"/>
      <c r="AL22" s="103"/>
    </row>
    <row r="23" spans="2:38" ht="20.100000000000001" customHeight="1" x14ac:dyDescent="0.15">
      <c r="C23" s="259" t="s">
        <v>175</v>
      </c>
      <c r="D23" s="260"/>
      <c r="E23" s="260"/>
      <c r="F23" s="260"/>
      <c r="G23" s="261"/>
      <c r="H23" s="262" t="str">
        <f ca="1">'産休・育休 印刷'!$C$21</f>
        <v/>
      </c>
      <c r="I23" s="262"/>
      <c r="J23" s="262"/>
      <c r="K23" s="262"/>
      <c r="L23" s="263"/>
      <c r="M23" s="264" t="s">
        <v>161</v>
      </c>
      <c r="N23" s="265"/>
      <c r="O23" s="266" t="str">
        <f ca="1">IF(U23=0,"",'産休・育休 印刷'!$K$21)</f>
        <v/>
      </c>
      <c r="P23" s="262"/>
      <c r="Q23" s="262"/>
      <c r="R23" s="262"/>
      <c r="S23" s="262"/>
      <c r="T23" s="112"/>
      <c r="U23" s="385">
        <f ca="1">'産休・育休 印刷'!S21</f>
        <v>0</v>
      </c>
      <c r="V23" s="385"/>
      <c r="W23" s="385"/>
      <c r="X23" s="385"/>
      <c r="Y23" s="385"/>
      <c r="Z23" s="113" t="s">
        <v>176</v>
      </c>
      <c r="AA23" s="114"/>
      <c r="AB23" s="115"/>
      <c r="AC23" s="99"/>
      <c r="AD23" s="99"/>
      <c r="AE23" s="99"/>
      <c r="AF23" s="99"/>
      <c r="AG23" s="101"/>
      <c r="AH23" s="102"/>
      <c r="AI23" s="102"/>
      <c r="AJ23" s="102"/>
      <c r="AK23" s="102"/>
      <c r="AL23" s="103"/>
    </row>
    <row r="24" spans="2:38" ht="20.100000000000001" customHeight="1" x14ac:dyDescent="0.15">
      <c r="C24" s="386" t="s">
        <v>177</v>
      </c>
      <c r="D24" s="387"/>
      <c r="E24" s="387"/>
      <c r="F24" s="387"/>
      <c r="G24" s="387"/>
      <c r="H24" s="387"/>
      <c r="I24" s="387"/>
      <c r="J24" s="387"/>
      <c r="K24" s="387"/>
      <c r="L24" s="387"/>
      <c r="M24" s="387"/>
      <c r="N24" s="387"/>
      <c r="O24" s="387"/>
      <c r="P24" s="387"/>
      <c r="Q24" s="387"/>
      <c r="R24" s="387"/>
      <c r="S24" s="388"/>
      <c r="T24" s="116" t="s">
        <v>178</v>
      </c>
      <c r="U24" s="385">
        <f ca="1">U20</f>
        <v>0</v>
      </c>
      <c r="V24" s="385"/>
      <c r="W24" s="117" t="s">
        <v>171</v>
      </c>
      <c r="X24" s="389">
        <f ca="1">U23</f>
        <v>0</v>
      </c>
      <c r="Y24" s="389"/>
      <c r="Z24" s="118" t="s">
        <v>176</v>
      </c>
      <c r="AA24" s="390">
        <f ca="1">'産休・育休 印刷'!P26</f>
        <v>6</v>
      </c>
      <c r="AB24" s="391"/>
      <c r="AC24" s="107" t="s">
        <v>171</v>
      </c>
      <c r="AD24" s="392">
        <f ca="1">'産休・育休 印刷'!R26</f>
        <v>0</v>
      </c>
      <c r="AE24" s="392"/>
      <c r="AF24" s="107" t="s">
        <v>176</v>
      </c>
      <c r="AG24" s="232">
        <f ca="1">'産休・育休 印刷'!P27</f>
        <v>100</v>
      </c>
      <c r="AH24" s="233"/>
      <c r="AI24" s="102" t="s">
        <v>179</v>
      </c>
      <c r="AJ24" s="234">
        <v>100</v>
      </c>
      <c r="AK24" s="234"/>
      <c r="AL24" s="235"/>
    </row>
    <row r="25" spans="2:38" ht="20.100000000000001" customHeight="1" x14ac:dyDescent="0.15">
      <c r="C25" s="399" t="s">
        <v>180</v>
      </c>
      <c r="D25" s="400"/>
      <c r="E25" s="400"/>
      <c r="F25" s="400"/>
      <c r="G25" s="400"/>
      <c r="H25" s="180" t="s">
        <v>181</v>
      </c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2"/>
      <c r="T25" s="120"/>
      <c r="U25" s="401">
        <f ca="1">'産休・育休 印刷'!O25</f>
        <v>0</v>
      </c>
      <c r="V25" s="401"/>
      <c r="W25" s="117" t="s">
        <v>171</v>
      </c>
      <c r="X25" s="402">
        <f ca="1">'産休・育休 印刷'!Q25</f>
        <v>0</v>
      </c>
      <c r="Y25" s="402"/>
      <c r="Z25" s="118" t="s">
        <v>176</v>
      </c>
      <c r="AA25" s="121"/>
      <c r="AB25" s="122"/>
      <c r="AC25" s="123"/>
      <c r="AD25" s="123"/>
      <c r="AE25" s="123"/>
      <c r="AF25" s="124"/>
      <c r="AG25" s="305"/>
      <c r="AH25" s="306"/>
      <c r="AI25" s="125"/>
      <c r="AJ25" s="307"/>
      <c r="AK25" s="307"/>
      <c r="AL25" s="308"/>
    </row>
    <row r="26" spans="2:38" ht="9.9499999999999993" customHeight="1" x14ac:dyDescent="0.15">
      <c r="C26" s="85"/>
      <c r="D26" s="85"/>
      <c r="E26" s="85"/>
      <c r="F26" s="85"/>
      <c r="G26" s="85"/>
      <c r="H26" s="85"/>
      <c r="I26" s="85"/>
      <c r="J26" s="86"/>
      <c r="K26" s="86"/>
      <c r="L26" s="86"/>
      <c r="M26" s="86"/>
      <c r="N26" s="86"/>
      <c r="O26" s="86"/>
      <c r="P26" s="87"/>
      <c r="Q26" s="87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8"/>
      <c r="AH26" s="88"/>
      <c r="AI26" s="88"/>
      <c r="AJ26" s="88"/>
      <c r="AK26" s="88"/>
      <c r="AL26" s="88"/>
    </row>
    <row r="27" spans="2:38" ht="20.100000000000001" customHeight="1" x14ac:dyDescent="0.15">
      <c r="B27" s="89" t="s">
        <v>182</v>
      </c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</row>
    <row r="28" spans="2:38" ht="9.9499999999999993" customHeight="1" x14ac:dyDescent="0.15">
      <c r="B28" s="89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</row>
    <row r="29" spans="2:38" s="126" customFormat="1" ht="30" customHeight="1" x14ac:dyDescent="0.15">
      <c r="C29" s="291" t="s">
        <v>183</v>
      </c>
      <c r="D29" s="292"/>
      <c r="E29" s="292"/>
      <c r="F29" s="292"/>
      <c r="G29" s="292"/>
      <c r="H29" s="292"/>
      <c r="I29" s="292"/>
      <c r="J29" s="293"/>
      <c r="K29" s="297" t="s">
        <v>184</v>
      </c>
      <c r="L29" s="298"/>
      <c r="M29" s="298"/>
      <c r="N29" s="298"/>
      <c r="O29" s="298"/>
      <c r="P29" s="298"/>
      <c r="Q29" s="398"/>
      <c r="R29" s="398"/>
      <c r="S29" s="127" t="s">
        <v>185</v>
      </c>
      <c r="T29" s="128"/>
      <c r="U29" s="281" t="s">
        <v>186</v>
      </c>
      <c r="V29" s="281"/>
      <c r="W29" s="300" t="s">
        <v>187</v>
      </c>
      <c r="X29" s="300"/>
      <c r="Y29" s="300"/>
      <c r="Z29" s="300"/>
      <c r="AA29" s="300"/>
      <c r="AB29" s="300"/>
      <c r="AC29" s="398"/>
      <c r="AD29" s="398"/>
      <c r="AE29" s="129" t="s">
        <v>185</v>
      </c>
      <c r="AF29" s="129"/>
      <c r="AG29" s="281" t="s">
        <v>188</v>
      </c>
      <c r="AH29" s="281"/>
      <c r="AI29" s="130" t="s">
        <v>189</v>
      </c>
      <c r="AJ29" s="397"/>
      <c r="AK29" s="397"/>
      <c r="AL29" s="131" t="s">
        <v>185</v>
      </c>
    </row>
    <row r="30" spans="2:38" s="126" customFormat="1" ht="29.25" customHeight="1" x14ac:dyDescent="0.15">
      <c r="C30" s="294"/>
      <c r="D30" s="295"/>
      <c r="E30" s="295"/>
      <c r="F30" s="295"/>
      <c r="G30" s="295"/>
      <c r="H30" s="295"/>
      <c r="I30" s="295"/>
      <c r="J30" s="296"/>
      <c r="K30" s="283" t="s">
        <v>190</v>
      </c>
      <c r="L30" s="284"/>
      <c r="M30" s="284"/>
      <c r="N30" s="284"/>
      <c r="O30" s="284"/>
      <c r="P30" s="284"/>
      <c r="Q30" s="284"/>
      <c r="R30" s="284"/>
      <c r="S30" s="285"/>
      <c r="T30" s="286" t="s">
        <v>191</v>
      </c>
      <c r="U30" s="287"/>
      <c r="V30" s="288" t="s">
        <v>192</v>
      </c>
      <c r="W30" s="288"/>
      <c r="X30" s="288"/>
      <c r="Y30" s="288"/>
      <c r="Z30" s="288"/>
      <c r="AA30" s="288"/>
      <c r="AB30" s="288"/>
      <c r="AC30" s="289" t="s">
        <v>193</v>
      </c>
      <c r="AD30" s="289"/>
      <c r="AE30" s="289"/>
      <c r="AF30" s="288" t="s">
        <v>194</v>
      </c>
      <c r="AG30" s="288"/>
      <c r="AH30" s="288"/>
      <c r="AI30" s="288"/>
      <c r="AJ30" s="288"/>
      <c r="AK30" s="288"/>
      <c r="AL30" s="290"/>
    </row>
    <row r="31" spans="2:38" ht="7.5" customHeight="1" x14ac:dyDescent="0.15">
      <c r="B31" s="89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1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</row>
    <row r="32" spans="2:38" ht="20.100000000000001" customHeight="1" x14ac:dyDescent="0.15">
      <c r="C32" s="222" t="s">
        <v>164</v>
      </c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74"/>
      <c r="T32" s="222" t="s">
        <v>162</v>
      </c>
      <c r="U32" s="223"/>
      <c r="V32" s="223"/>
      <c r="W32" s="223"/>
      <c r="X32" s="223"/>
      <c r="Y32" s="223"/>
      <c r="Z32" s="223"/>
      <c r="AA32" s="222" t="s">
        <v>195</v>
      </c>
      <c r="AB32" s="223"/>
      <c r="AC32" s="223"/>
      <c r="AD32" s="223"/>
      <c r="AE32" s="223"/>
      <c r="AF32" s="223"/>
      <c r="AG32" s="278" t="s">
        <v>196</v>
      </c>
      <c r="AH32" s="279"/>
      <c r="AI32" s="223"/>
      <c r="AJ32" s="223"/>
      <c r="AK32" s="223"/>
      <c r="AL32" s="274"/>
    </row>
    <row r="33" spans="3:38" ht="20.100000000000001" customHeight="1" x14ac:dyDescent="0.15">
      <c r="C33" s="275"/>
      <c r="D33" s="276"/>
      <c r="E33" s="276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6"/>
      <c r="Q33" s="276"/>
      <c r="R33" s="276"/>
      <c r="S33" s="277"/>
      <c r="T33" s="275"/>
      <c r="U33" s="276"/>
      <c r="V33" s="276"/>
      <c r="W33" s="276"/>
      <c r="X33" s="276"/>
      <c r="Y33" s="276"/>
      <c r="Z33" s="276"/>
      <c r="AA33" s="275"/>
      <c r="AB33" s="276"/>
      <c r="AC33" s="276"/>
      <c r="AD33" s="276"/>
      <c r="AE33" s="276"/>
      <c r="AF33" s="276"/>
      <c r="AG33" s="275"/>
      <c r="AH33" s="276"/>
      <c r="AI33" s="276"/>
      <c r="AJ33" s="276"/>
      <c r="AK33" s="276"/>
      <c r="AL33" s="277"/>
    </row>
    <row r="34" spans="3:38" ht="20.100000000000001" customHeight="1" x14ac:dyDescent="0.15">
      <c r="C34" s="396">
        <v>1</v>
      </c>
      <c r="D34" s="396"/>
      <c r="E34" s="396"/>
      <c r="F34" s="396"/>
      <c r="G34" s="396"/>
      <c r="H34" s="262" t="str">
        <f ca="1">IF(C34&lt;=$U$37,'産休・育休 印刷'!$C$20,"")</f>
        <v/>
      </c>
      <c r="I34" s="262"/>
      <c r="J34" s="262"/>
      <c r="K34" s="262"/>
      <c r="L34" s="263"/>
      <c r="M34" s="264" t="s">
        <v>161</v>
      </c>
      <c r="N34" s="265"/>
      <c r="O34" s="266" t="str">
        <f ca="1">IF(C34&lt;=$U$37,IFERROR(EDATE(H34,1)-1,""),"")</f>
        <v/>
      </c>
      <c r="P34" s="262"/>
      <c r="Q34" s="262"/>
      <c r="R34" s="262"/>
      <c r="S34" s="262"/>
      <c r="T34" s="92"/>
      <c r="U34" s="93"/>
      <c r="V34" s="93"/>
      <c r="W34" s="93"/>
      <c r="X34" s="93"/>
      <c r="Y34" s="93"/>
      <c r="Z34" s="94"/>
      <c r="AA34" s="92"/>
      <c r="AB34" s="93"/>
      <c r="AC34" s="93"/>
      <c r="AD34" s="93"/>
      <c r="AE34" s="93"/>
      <c r="AF34" s="93"/>
      <c r="AG34" s="95"/>
      <c r="AH34" s="96"/>
      <c r="AI34" s="96"/>
      <c r="AJ34" s="96"/>
      <c r="AK34" s="96"/>
      <c r="AL34" s="97"/>
    </row>
    <row r="35" spans="3:38" ht="20.100000000000001" customHeight="1" x14ac:dyDescent="0.15">
      <c r="C35" s="394">
        <v>2</v>
      </c>
      <c r="D35" s="394"/>
      <c r="E35" s="394"/>
      <c r="F35" s="394"/>
      <c r="G35" s="394"/>
      <c r="H35" s="268" t="str">
        <f ca="1">IF(C35&lt;=$U$37,IFERROR(EDATE(H34,1),""),"")</f>
        <v/>
      </c>
      <c r="I35" s="268"/>
      <c r="J35" s="268"/>
      <c r="K35" s="268"/>
      <c r="L35" s="269"/>
      <c r="M35" s="270" t="s">
        <v>161</v>
      </c>
      <c r="N35" s="271"/>
      <c r="O35" s="272" t="str">
        <f t="shared" ref="O35:O39" ca="1" si="2">IF(C35&lt;=$U$37,IFERROR(EDATE(H35,1)-1,""),"")</f>
        <v/>
      </c>
      <c r="P35" s="268"/>
      <c r="Q35" s="268"/>
      <c r="R35" s="268"/>
      <c r="S35" s="268"/>
      <c r="T35" s="98"/>
      <c r="U35" s="99"/>
      <c r="V35" s="99"/>
      <c r="W35" s="99"/>
      <c r="X35" s="99"/>
      <c r="Y35" s="99"/>
      <c r="Z35" s="100"/>
      <c r="AA35" s="98"/>
      <c r="AB35" s="99"/>
      <c r="AC35" s="99"/>
      <c r="AD35" s="99"/>
      <c r="AE35" s="99"/>
      <c r="AF35" s="99"/>
      <c r="AG35" s="101"/>
      <c r="AH35" s="102"/>
      <c r="AI35" s="102"/>
      <c r="AJ35" s="102"/>
      <c r="AK35" s="102"/>
      <c r="AL35" s="103"/>
    </row>
    <row r="36" spans="3:38" ht="20.100000000000001" customHeight="1" x14ac:dyDescent="0.15">
      <c r="C36" s="394">
        <v>3</v>
      </c>
      <c r="D36" s="394"/>
      <c r="E36" s="394"/>
      <c r="F36" s="394"/>
      <c r="G36" s="394"/>
      <c r="H36" s="268" t="str">
        <f t="shared" ref="H36:H39" ca="1" si="3">IF(C36&lt;=$U$37,IFERROR(EDATE(H35,1),""),"")</f>
        <v/>
      </c>
      <c r="I36" s="268"/>
      <c r="J36" s="268"/>
      <c r="K36" s="268"/>
      <c r="L36" s="269"/>
      <c r="M36" s="270" t="s">
        <v>161</v>
      </c>
      <c r="N36" s="271"/>
      <c r="O36" s="272" t="str">
        <f t="shared" ca="1" si="2"/>
        <v/>
      </c>
      <c r="P36" s="268"/>
      <c r="Q36" s="268"/>
      <c r="R36" s="268"/>
      <c r="S36" s="268"/>
      <c r="T36" s="98"/>
      <c r="U36" s="99"/>
      <c r="V36" s="99"/>
      <c r="W36" s="99"/>
      <c r="X36" s="99"/>
      <c r="Y36" s="99"/>
      <c r="Z36" s="100"/>
      <c r="AA36" s="98"/>
      <c r="AB36" s="99"/>
      <c r="AC36" s="99"/>
      <c r="AD36" s="99"/>
      <c r="AE36" s="99"/>
      <c r="AF36" s="99"/>
      <c r="AG36" s="104"/>
      <c r="AH36" s="88"/>
      <c r="AI36" s="88"/>
      <c r="AJ36" s="88"/>
      <c r="AK36" s="88"/>
      <c r="AL36" s="105"/>
    </row>
    <row r="37" spans="3:38" ht="20.100000000000001" customHeight="1" x14ac:dyDescent="0.15">
      <c r="C37" s="394">
        <v>4</v>
      </c>
      <c r="D37" s="394"/>
      <c r="E37" s="394"/>
      <c r="F37" s="394"/>
      <c r="G37" s="394"/>
      <c r="H37" s="268" t="str">
        <f t="shared" ca="1" si="3"/>
        <v/>
      </c>
      <c r="I37" s="268"/>
      <c r="J37" s="268"/>
      <c r="K37" s="268"/>
      <c r="L37" s="269"/>
      <c r="M37" s="270" t="s">
        <v>161</v>
      </c>
      <c r="N37" s="271"/>
      <c r="O37" s="272" t="str">
        <f t="shared" ca="1" si="2"/>
        <v/>
      </c>
      <c r="P37" s="268"/>
      <c r="Q37" s="268"/>
      <c r="R37" s="268"/>
      <c r="S37" s="268"/>
      <c r="T37" s="98"/>
      <c r="U37" s="395">
        <f ca="1">U20</f>
        <v>0</v>
      </c>
      <c r="V37" s="395"/>
      <c r="W37" s="395"/>
      <c r="X37" s="395"/>
      <c r="Y37" s="395"/>
      <c r="Z37" s="106" t="s">
        <v>171</v>
      </c>
      <c r="AA37" s="98"/>
      <c r="AB37" s="99"/>
      <c r="AC37" s="99"/>
      <c r="AD37" s="99"/>
      <c r="AE37" s="99"/>
      <c r="AF37" s="99"/>
      <c r="AG37" s="104"/>
      <c r="AH37" s="88"/>
      <c r="AI37" s="88"/>
      <c r="AJ37" s="88"/>
      <c r="AK37" s="88"/>
      <c r="AL37" s="105"/>
    </row>
    <row r="38" spans="3:38" ht="20.100000000000001" customHeight="1" x14ac:dyDescent="0.15">
      <c r="C38" s="394">
        <v>5</v>
      </c>
      <c r="D38" s="394"/>
      <c r="E38" s="394"/>
      <c r="F38" s="394"/>
      <c r="G38" s="394"/>
      <c r="H38" s="268" t="str">
        <f t="shared" ca="1" si="3"/>
        <v/>
      </c>
      <c r="I38" s="268"/>
      <c r="J38" s="268"/>
      <c r="K38" s="268"/>
      <c r="L38" s="269"/>
      <c r="M38" s="270" t="s">
        <v>161</v>
      </c>
      <c r="N38" s="271"/>
      <c r="O38" s="272" t="str">
        <f t="shared" ca="1" si="2"/>
        <v/>
      </c>
      <c r="P38" s="268"/>
      <c r="Q38" s="268"/>
      <c r="R38" s="268"/>
      <c r="S38" s="268"/>
      <c r="T38" s="98"/>
      <c r="U38" s="99"/>
      <c r="V38" s="99"/>
      <c r="W38" s="107"/>
      <c r="X38" s="107"/>
      <c r="Y38" s="107"/>
      <c r="Z38" s="106"/>
      <c r="AA38" s="98"/>
      <c r="AB38" s="99"/>
      <c r="AC38" s="99"/>
      <c r="AD38" s="99"/>
      <c r="AE38" s="99"/>
      <c r="AF38" s="99"/>
      <c r="AG38" s="104"/>
      <c r="AH38" s="88"/>
      <c r="AI38" s="88"/>
      <c r="AJ38" s="88"/>
      <c r="AK38" s="88"/>
      <c r="AL38" s="105"/>
    </row>
    <row r="39" spans="3:38" ht="20.100000000000001" customHeight="1" x14ac:dyDescent="0.15">
      <c r="C39" s="393">
        <v>6</v>
      </c>
      <c r="D39" s="393"/>
      <c r="E39" s="393"/>
      <c r="F39" s="393"/>
      <c r="G39" s="393"/>
      <c r="H39" s="254" t="str">
        <f t="shared" ca="1" si="3"/>
        <v/>
      </c>
      <c r="I39" s="254"/>
      <c r="J39" s="254"/>
      <c r="K39" s="254"/>
      <c r="L39" s="255"/>
      <c r="M39" s="256" t="s">
        <v>161</v>
      </c>
      <c r="N39" s="257"/>
      <c r="O39" s="258" t="str">
        <f t="shared" ca="1" si="2"/>
        <v/>
      </c>
      <c r="P39" s="254"/>
      <c r="Q39" s="254"/>
      <c r="R39" s="254"/>
      <c r="S39" s="254"/>
      <c r="T39" s="108"/>
      <c r="U39" s="109"/>
      <c r="V39" s="109"/>
      <c r="W39" s="110"/>
      <c r="X39" s="110"/>
      <c r="Y39" s="110"/>
      <c r="Z39" s="111"/>
      <c r="AA39" s="98"/>
      <c r="AB39" s="99"/>
      <c r="AC39" s="99"/>
      <c r="AD39" s="99"/>
      <c r="AE39" s="99"/>
      <c r="AF39" s="99"/>
      <c r="AG39" s="101"/>
      <c r="AH39" s="102"/>
      <c r="AI39" s="102"/>
      <c r="AJ39" s="102"/>
      <c r="AK39" s="102"/>
      <c r="AL39" s="103"/>
    </row>
    <row r="40" spans="3:38" ht="20.100000000000001" customHeight="1" x14ac:dyDescent="0.15">
      <c r="C40" s="259" t="s">
        <v>197</v>
      </c>
      <c r="D40" s="260"/>
      <c r="E40" s="260"/>
      <c r="F40" s="260"/>
      <c r="G40" s="261"/>
      <c r="H40" s="262" t="str">
        <f ca="1">'産休・育休 印刷'!$C$21</f>
        <v/>
      </c>
      <c r="I40" s="262"/>
      <c r="J40" s="262"/>
      <c r="K40" s="262"/>
      <c r="L40" s="263"/>
      <c r="M40" s="264" t="s">
        <v>161</v>
      </c>
      <c r="N40" s="265"/>
      <c r="O40" s="266" t="str">
        <f ca="1">IF(U40=0,"",'産休・育休 印刷'!$K$21)</f>
        <v/>
      </c>
      <c r="P40" s="262"/>
      <c r="Q40" s="262"/>
      <c r="R40" s="262"/>
      <c r="S40" s="262"/>
      <c r="T40" s="112"/>
      <c r="U40" s="385">
        <f ca="1">U23</f>
        <v>0</v>
      </c>
      <c r="V40" s="385"/>
      <c r="W40" s="385"/>
      <c r="X40" s="385"/>
      <c r="Y40" s="385"/>
      <c r="Z40" s="113" t="s">
        <v>176</v>
      </c>
      <c r="AA40" s="114"/>
      <c r="AB40" s="115"/>
      <c r="AC40" s="99"/>
      <c r="AD40" s="99"/>
      <c r="AE40" s="99"/>
      <c r="AF40" s="99"/>
      <c r="AG40" s="101"/>
      <c r="AH40" s="102"/>
      <c r="AI40" s="102"/>
      <c r="AJ40" s="102"/>
      <c r="AK40" s="102"/>
      <c r="AL40" s="103"/>
    </row>
    <row r="41" spans="3:38" ht="20.100000000000001" customHeight="1" x14ac:dyDescent="0.15">
      <c r="C41" s="386" t="s">
        <v>177</v>
      </c>
      <c r="D41" s="387"/>
      <c r="E41" s="387"/>
      <c r="F41" s="387"/>
      <c r="G41" s="387"/>
      <c r="H41" s="387"/>
      <c r="I41" s="387"/>
      <c r="J41" s="387"/>
      <c r="K41" s="387"/>
      <c r="L41" s="387"/>
      <c r="M41" s="387"/>
      <c r="N41" s="387"/>
      <c r="O41" s="387"/>
      <c r="P41" s="387"/>
      <c r="Q41" s="387"/>
      <c r="R41" s="387"/>
      <c r="S41" s="388"/>
      <c r="T41" s="116" t="s">
        <v>198</v>
      </c>
      <c r="U41" s="385">
        <f ca="1">U24</f>
        <v>0</v>
      </c>
      <c r="V41" s="385"/>
      <c r="W41" s="117" t="s">
        <v>171</v>
      </c>
      <c r="X41" s="389">
        <f ca="1">X24</f>
        <v>0</v>
      </c>
      <c r="Y41" s="389"/>
      <c r="Z41" s="118" t="s">
        <v>176</v>
      </c>
      <c r="AA41" s="390">
        <f ca="1">IF(AG41=100,6,'産休・育休 印刷'!P31)</f>
        <v>6</v>
      </c>
      <c r="AB41" s="391"/>
      <c r="AC41" s="107" t="s">
        <v>171</v>
      </c>
      <c r="AD41" s="392">
        <f ca="1">IF(AG41=100,0,'産休・育休 印刷'!R31)</f>
        <v>0</v>
      </c>
      <c r="AE41" s="392"/>
      <c r="AF41" s="107" t="s">
        <v>176</v>
      </c>
      <c r="AG41" s="232">
        <f ca="1">'産休・育休 印刷'!Q33</f>
        <v>100</v>
      </c>
      <c r="AH41" s="233"/>
      <c r="AI41" s="102" t="s">
        <v>179</v>
      </c>
      <c r="AJ41" s="234">
        <v>100</v>
      </c>
      <c r="AK41" s="234"/>
      <c r="AL41" s="235"/>
    </row>
    <row r="42" spans="3:38" ht="20.100000000000001" customHeight="1" x14ac:dyDescent="0.15">
      <c r="C42" s="379" t="s">
        <v>199</v>
      </c>
      <c r="D42" s="380"/>
      <c r="E42" s="380"/>
      <c r="F42" s="380"/>
      <c r="G42" s="381"/>
      <c r="H42" s="183" t="s">
        <v>200</v>
      </c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32" t="s">
        <v>201</v>
      </c>
      <c r="U42" s="242"/>
      <c r="V42" s="242"/>
      <c r="W42" s="242"/>
      <c r="X42" s="242"/>
      <c r="Y42" s="242"/>
      <c r="Z42" s="133" t="s">
        <v>176</v>
      </c>
      <c r="AA42" s="134"/>
      <c r="AB42" s="135"/>
      <c r="AC42" s="136"/>
      <c r="AD42" s="136"/>
      <c r="AE42" s="136"/>
      <c r="AF42" s="136"/>
      <c r="AG42" s="137"/>
      <c r="AH42" s="138"/>
      <c r="AI42" s="138"/>
      <c r="AJ42" s="102"/>
      <c r="AK42" s="102"/>
      <c r="AL42" s="103"/>
    </row>
    <row r="43" spans="3:38" ht="20.100000000000001" customHeight="1" x14ac:dyDescent="0.15">
      <c r="C43" s="382"/>
      <c r="D43" s="383"/>
      <c r="E43" s="383"/>
      <c r="F43" s="383"/>
      <c r="G43" s="384"/>
      <c r="H43" s="185" t="s">
        <v>202</v>
      </c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39"/>
      <c r="U43" s="243"/>
      <c r="V43" s="243"/>
      <c r="W43" s="140" t="s">
        <v>171</v>
      </c>
      <c r="X43" s="244"/>
      <c r="Y43" s="244"/>
      <c r="Z43" s="141" t="s">
        <v>176</v>
      </c>
      <c r="AA43" s="121"/>
      <c r="AB43" s="122"/>
      <c r="AC43" s="123"/>
      <c r="AD43" s="123"/>
      <c r="AE43" s="123"/>
      <c r="AF43" s="123"/>
      <c r="AG43" s="142"/>
      <c r="AH43" s="143"/>
      <c r="AI43" s="143"/>
      <c r="AJ43" s="143"/>
      <c r="AK43" s="143"/>
      <c r="AL43" s="144"/>
    </row>
    <row r="44" spans="3:38" ht="20.100000000000001" customHeight="1" x14ac:dyDescent="0.15">
      <c r="C44" s="145"/>
      <c r="D44" s="145"/>
      <c r="E44" s="145"/>
      <c r="F44" s="145"/>
      <c r="G44" s="145"/>
      <c r="H44" s="146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0"/>
      <c r="W44" s="147"/>
      <c r="X44" s="147"/>
      <c r="Y44" s="147"/>
      <c r="Z44" s="147"/>
      <c r="AA44" s="120"/>
      <c r="AB44" s="120"/>
      <c r="AC44" s="147"/>
      <c r="AD44" s="147"/>
      <c r="AE44" s="147"/>
      <c r="AF44" s="147"/>
      <c r="AG44" s="148"/>
      <c r="AH44" s="148"/>
      <c r="AI44" s="148"/>
      <c r="AJ44" s="148"/>
      <c r="AK44" s="148"/>
      <c r="AL44" s="148"/>
    </row>
    <row r="45" spans="3:38" ht="20.100000000000001" customHeight="1" x14ac:dyDescent="0.15">
      <c r="C45" s="222" t="s">
        <v>203</v>
      </c>
      <c r="D45" s="223"/>
      <c r="E45" s="223"/>
      <c r="F45" s="223"/>
      <c r="G45" s="223"/>
      <c r="H45" s="149"/>
      <c r="I45" s="149"/>
      <c r="J45" s="149"/>
      <c r="K45" s="149"/>
      <c r="L45" s="149"/>
      <c r="M45" s="149"/>
      <c r="N45" s="150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149"/>
      <c r="AL45" s="151"/>
    </row>
    <row r="46" spans="3:38" ht="20.100000000000001" customHeight="1" x14ac:dyDescent="0.15">
      <c r="C46" s="104"/>
      <c r="D46" s="88" t="str">
        <f ca="1">IF(AG41=100,"育児休業期間1ヶ月以下のため",'産休・育休 TEMP'!C26)</f>
        <v>育児休業期間1ヶ月以下のため</v>
      </c>
      <c r="E46" s="88"/>
      <c r="F46" s="88"/>
      <c r="G46" s="88"/>
      <c r="H46" s="88"/>
      <c r="I46" s="88"/>
      <c r="J46" s="88"/>
      <c r="K46" s="88"/>
      <c r="L46" s="88"/>
      <c r="M46" s="88"/>
      <c r="N46" s="152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105"/>
    </row>
    <row r="47" spans="3:38" ht="20.100000000000001" customHeight="1" x14ac:dyDescent="0.15">
      <c r="C47" s="104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152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105"/>
    </row>
    <row r="48" spans="3:38" ht="20.100000000000001" customHeight="1" x14ac:dyDescent="0.15">
      <c r="C48" s="104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152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105"/>
    </row>
    <row r="49" spans="3:38" ht="20.100000000000001" customHeight="1" x14ac:dyDescent="0.15">
      <c r="C49" s="149" t="s">
        <v>204</v>
      </c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50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</row>
    <row r="50" spans="3:38" ht="20.100000000000001" customHeight="1" x14ac:dyDescent="0.15"/>
    <row r="51" spans="3:38" ht="20.100000000000001" customHeight="1" x14ac:dyDescent="0.15"/>
    <row r="52" spans="3:38" ht="20.100000000000001" customHeight="1" x14ac:dyDescent="0.15"/>
    <row r="53" spans="3:38" ht="20.100000000000001" customHeight="1" x14ac:dyDescent="0.15"/>
    <row r="54" spans="3:38" ht="20.100000000000001" customHeight="1" x14ac:dyDescent="0.15"/>
    <row r="55" spans="3:38" ht="20.100000000000001" customHeight="1" x14ac:dyDescent="0.15"/>
    <row r="56" spans="3:38" ht="20.100000000000001" customHeight="1" x14ac:dyDescent="0.15"/>
    <row r="57" spans="3:38" ht="20.100000000000001" customHeight="1" x14ac:dyDescent="0.15"/>
    <row r="58" spans="3:38" ht="20.100000000000001" customHeight="1" x14ac:dyDescent="0.15"/>
    <row r="59" spans="3:38" ht="20.100000000000001" customHeight="1" x14ac:dyDescent="0.15"/>
    <row r="60" spans="3:38" ht="20.100000000000001" customHeight="1" x14ac:dyDescent="0.15"/>
    <row r="61" spans="3:38" ht="20.100000000000001" customHeight="1" x14ac:dyDescent="0.15"/>
    <row r="62" spans="3:38" ht="20.100000000000001" customHeight="1" x14ac:dyDescent="0.15"/>
    <row r="63" spans="3:38" ht="20.100000000000001" customHeight="1" x14ac:dyDescent="0.15"/>
    <row r="64" spans="3:38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</sheetData>
  <sheetProtection sheet="1" objects="1" scenarios="1" selectLockedCells="1"/>
  <mergeCells count="130">
    <mergeCell ref="C2:AL2"/>
    <mergeCell ref="C5:H6"/>
    <mergeCell ref="I5:R6"/>
    <mergeCell ref="S5:W5"/>
    <mergeCell ref="S6:W6"/>
    <mergeCell ref="Y5:AK5"/>
    <mergeCell ref="Y6:AK6"/>
    <mergeCell ref="Y7:AK7"/>
    <mergeCell ref="C15:S16"/>
    <mergeCell ref="T15:Z16"/>
    <mergeCell ref="AA15:AF16"/>
    <mergeCell ref="AG15:AL16"/>
    <mergeCell ref="AE8:AK8"/>
    <mergeCell ref="W8:AC8"/>
    <mergeCell ref="R8:V8"/>
    <mergeCell ref="K8:P8"/>
    <mergeCell ref="AF10:AL10"/>
    <mergeCell ref="C7:H7"/>
    <mergeCell ref="I7:R7"/>
    <mergeCell ref="S7:W7"/>
    <mergeCell ref="C8:J8"/>
    <mergeCell ref="C17:G17"/>
    <mergeCell ref="H17:L17"/>
    <mergeCell ref="M17:N17"/>
    <mergeCell ref="O17:S17"/>
    <mergeCell ref="C9:J9"/>
    <mergeCell ref="K9:S9"/>
    <mergeCell ref="T9:U9"/>
    <mergeCell ref="V9:AD9"/>
    <mergeCell ref="C10:J10"/>
    <mergeCell ref="K10:S10"/>
    <mergeCell ref="T10:U10"/>
    <mergeCell ref="V10:AD10"/>
    <mergeCell ref="U20:Y20"/>
    <mergeCell ref="C21:G21"/>
    <mergeCell ref="H21:L21"/>
    <mergeCell ref="M21:N21"/>
    <mergeCell ref="O21:S21"/>
    <mergeCell ref="C18:G18"/>
    <mergeCell ref="H18:L18"/>
    <mergeCell ref="M18:N18"/>
    <mergeCell ref="O18:S18"/>
    <mergeCell ref="C19:G19"/>
    <mergeCell ref="H19:L19"/>
    <mergeCell ref="M19:N19"/>
    <mergeCell ref="O19:S19"/>
    <mergeCell ref="C22:G22"/>
    <mergeCell ref="H22:L22"/>
    <mergeCell ref="M22:N22"/>
    <mergeCell ref="O22:S22"/>
    <mergeCell ref="C23:G23"/>
    <mergeCell ref="H23:L23"/>
    <mergeCell ref="M23:N23"/>
    <mergeCell ref="O23:S23"/>
    <mergeCell ref="C20:G20"/>
    <mergeCell ref="H20:L20"/>
    <mergeCell ref="M20:N20"/>
    <mergeCell ref="O20:S20"/>
    <mergeCell ref="AG24:AH24"/>
    <mergeCell ref="AJ24:AL24"/>
    <mergeCell ref="C25:G25"/>
    <mergeCell ref="U25:V25"/>
    <mergeCell ref="X25:Y25"/>
    <mergeCell ref="AG25:AH25"/>
    <mergeCell ref="AJ25:AL25"/>
    <mergeCell ref="U23:Y23"/>
    <mergeCell ref="C24:S24"/>
    <mergeCell ref="U24:V24"/>
    <mergeCell ref="X24:Y24"/>
    <mergeCell ref="AA24:AB24"/>
    <mergeCell ref="AD24:AE24"/>
    <mergeCell ref="C32:S33"/>
    <mergeCell ref="T32:Z33"/>
    <mergeCell ref="AA32:AF33"/>
    <mergeCell ref="AG32:AL33"/>
    <mergeCell ref="C34:G34"/>
    <mergeCell ref="H34:L34"/>
    <mergeCell ref="M34:N34"/>
    <mergeCell ref="O34:S34"/>
    <mergeCell ref="AG29:AH29"/>
    <mergeCell ref="AJ29:AK29"/>
    <mergeCell ref="K30:S30"/>
    <mergeCell ref="T30:U30"/>
    <mergeCell ref="V30:AB30"/>
    <mergeCell ref="AC30:AE30"/>
    <mergeCell ref="AF30:AL30"/>
    <mergeCell ref="C29:J30"/>
    <mergeCell ref="K29:P29"/>
    <mergeCell ref="Q29:R29"/>
    <mergeCell ref="U29:V29"/>
    <mergeCell ref="W29:AB29"/>
    <mergeCell ref="AC29:AD29"/>
    <mergeCell ref="U37:Y37"/>
    <mergeCell ref="C38:G38"/>
    <mergeCell ref="H38:L38"/>
    <mergeCell ref="M38:N38"/>
    <mergeCell ref="O38:S38"/>
    <mergeCell ref="C35:G35"/>
    <mergeCell ref="H35:L35"/>
    <mergeCell ref="M35:N35"/>
    <mergeCell ref="O35:S35"/>
    <mergeCell ref="C36:G36"/>
    <mergeCell ref="H36:L36"/>
    <mergeCell ref="M36:N36"/>
    <mergeCell ref="O36:S36"/>
    <mergeCell ref="C39:G39"/>
    <mergeCell ref="H39:L39"/>
    <mergeCell ref="M39:N39"/>
    <mergeCell ref="O39:S39"/>
    <mergeCell ref="C40:G40"/>
    <mergeCell ref="H40:L40"/>
    <mergeCell ref="M40:N40"/>
    <mergeCell ref="O40:S40"/>
    <mergeCell ref="C37:G37"/>
    <mergeCell ref="H37:L37"/>
    <mergeCell ref="M37:N37"/>
    <mergeCell ref="O37:S37"/>
    <mergeCell ref="C45:G45"/>
    <mergeCell ref="AG41:AH41"/>
    <mergeCell ref="AJ41:AL41"/>
    <mergeCell ref="C42:G43"/>
    <mergeCell ref="U42:Y42"/>
    <mergeCell ref="U43:V43"/>
    <mergeCell ref="X43:Y43"/>
    <mergeCell ref="U40:Y40"/>
    <mergeCell ref="C41:S41"/>
    <mergeCell ref="U41:V41"/>
    <mergeCell ref="X41:Y41"/>
    <mergeCell ref="AA41:AB41"/>
    <mergeCell ref="AD41:AE41"/>
  </mergeCells>
  <phoneticPr fontId="2"/>
  <conditionalFormatting sqref="H17:L17">
    <cfRule type="expression" dxfId="23" priority="36">
      <formula>$H$17&gt;=$H$23</formula>
    </cfRule>
  </conditionalFormatting>
  <conditionalFormatting sqref="H22:L22">
    <cfRule type="expression" dxfId="22" priority="35">
      <formula>$H$22&gt;=$H$23</formula>
    </cfRule>
  </conditionalFormatting>
  <conditionalFormatting sqref="H21:L21">
    <cfRule type="expression" dxfId="21" priority="34">
      <formula>$H$21&gt;=$H$23</formula>
    </cfRule>
  </conditionalFormatting>
  <conditionalFormatting sqref="H20:L20">
    <cfRule type="expression" dxfId="20" priority="33">
      <formula>$H$20&gt;=$H$23</formula>
    </cfRule>
  </conditionalFormatting>
  <conditionalFormatting sqref="H19:L19">
    <cfRule type="expression" dxfId="19" priority="32">
      <formula>$H$19&gt;=$H$23</formula>
    </cfRule>
  </conditionalFormatting>
  <conditionalFormatting sqref="H18:L18">
    <cfRule type="expression" priority="31">
      <formula>$H$18&gt;=$H$23</formula>
    </cfRule>
  </conditionalFormatting>
  <conditionalFormatting sqref="O17:S17">
    <cfRule type="expression" dxfId="18" priority="30">
      <formula>$O$17&gt;$H$23</formula>
    </cfRule>
  </conditionalFormatting>
  <conditionalFormatting sqref="O18:S18">
    <cfRule type="expression" dxfId="17" priority="29">
      <formula>$O$18&gt;$H$23</formula>
    </cfRule>
  </conditionalFormatting>
  <conditionalFormatting sqref="O19:S19">
    <cfRule type="expression" dxfId="16" priority="28">
      <formula>$O$19&gt;$H$23</formula>
    </cfRule>
  </conditionalFormatting>
  <conditionalFormatting sqref="O20:S20">
    <cfRule type="expression" dxfId="15" priority="27">
      <formula>$O$20&gt;$H$23</formula>
    </cfRule>
  </conditionalFormatting>
  <conditionalFormatting sqref="O21:S21">
    <cfRule type="expression" dxfId="14" priority="26">
      <formula>$O$21&gt;$H$23</formula>
    </cfRule>
  </conditionalFormatting>
  <conditionalFormatting sqref="O22:S22">
    <cfRule type="expression" dxfId="13" priority="25">
      <formula>$O$22&gt;$H$23</formula>
    </cfRule>
  </conditionalFormatting>
  <conditionalFormatting sqref="H34:L34">
    <cfRule type="expression" dxfId="12" priority="24">
      <formula>$H$34&gt;=$H$40</formula>
    </cfRule>
  </conditionalFormatting>
  <conditionalFormatting sqref="H39:L39">
    <cfRule type="expression" dxfId="11" priority="12">
      <formula>$H$39&gt;=$H$40</formula>
    </cfRule>
  </conditionalFormatting>
  <conditionalFormatting sqref="H38:L38">
    <cfRule type="expression" dxfId="10" priority="11">
      <formula>$H$38&gt;=$H$40</formula>
    </cfRule>
  </conditionalFormatting>
  <conditionalFormatting sqref="H37:L37">
    <cfRule type="expression" dxfId="9" priority="10">
      <formula>$H$37&gt;=$H$40</formula>
    </cfRule>
  </conditionalFormatting>
  <conditionalFormatting sqref="H36:L36">
    <cfRule type="expression" dxfId="8" priority="9">
      <formula>$H$36&gt;=$H$40</formula>
    </cfRule>
  </conditionalFormatting>
  <conditionalFormatting sqref="H35:L35">
    <cfRule type="expression" priority="8">
      <formula>$H$35&gt;=$H$40</formula>
    </cfRule>
  </conditionalFormatting>
  <conditionalFormatting sqref="O34:S34">
    <cfRule type="expression" dxfId="7" priority="6">
      <formula>$O$34&gt;$H$40</formula>
    </cfRule>
  </conditionalFormatting>
  <conditionalFormatting sqref="O35:S35">
    <cfRule type="expression" dxfId="6" priority="5">
      <formula>$O$35&gt;$H$40</formula>
    </cfRule>
  </conditionalFormatting>
  <conditionalFormatting sqref="O36:S36">
    <cfRule type="expression" dxfId="5" priority="4">
      <formula>$O$36&gt;$H$40</formula>
    </cfRule>
  </conditionalFormatting>
  <conditionalFormatting sqref="O37:S37">
    <cfRule type="expression" dxfId="4" priority="3">
      <formula>$O$37&gt;$H$40</formula>
    </cfRule>
  </conditionalFormatting>
  <conditionalFormatting sqref="O38:S38">
    <cfRule type="expression" dxfId="3" priority="2">
      <formula>$O$38&gt;$H$40</formula>
    </cfRule>
  </conditionalFormatting>
  <conditionalFormatting sqref="O39:S39">
    <cfRule type="expression" dxfId="2" priority="1">
      <formula>$O$39&gt;$H$40</formula>
    </cfRule>
  </conditionalFormatting>
  <pageMargins left="1.1811023622047245" right="0.59055118110236227" top="0.59055118110236227" bottom="0.59055118110236227" header="0" footer="0"/>
  <pageSetup paperSize="9" scale="8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3"/>
  <sheetViews>
    <sheetView topLeftCell="A19" workbookViewId="0">
      <selection activeCell="C31" sqref="C31"/>
    </sheetView>
  </sheetViews>
  <sheetFormatPr defaultColWidth="9" defaultRowHeight="13.5" x14ac:dyDescent="0.15"/>
  <cols>
    <col min="1" max="1" width="2.25" style="2" customWidth="1"/>
    <col min="2" max="2" width="13" style="2" bestFit="1" customWidth="1"/>
    <col min="3" max="3" width="11.625" style="2" bestFit="1" customWidth="1"/>
    <col min="4" max="4" width="9" style="2" customWidth="1"/>
    <col min="5" max="5" width="2.25" style="2" customWidth="1"/>
    <col min="6" max="16384" width="9" style="2"/>
  </cols>
  <sheetData>
    <row r="1" spans="2:12" x14ac:dyDescent="0.15">
      <c r="E1" s="11"/>
    </row>
    <row r="2" spans="2:12" ht="13.5" customHeight="1" thickBot="1" x14ac:dyDescent="0.2">
      <c r="B2" s="26" t="s">
        <v>5</v>
      </c>
      <c r="C2" s="26"/>
      <c r="D2" s="26"/>
      <c r="E2" s="12"/>
      <c r="F2" s="420" t="s">
        <v>0</v>
      </c>
      <c r="G2" s="420"/>
      <c r="L2" s="3"/>
    </row>
    <row r="3" spans="2:12" ht="13.5" customHeight="1" thickTop="1" x14ac:dyDescent="0.15">
      <c r="B3" s="5" t="s">
        <v>6</v>
      </c>
      <c r="C3" s="5" t="s">
        <v>7</v>
      </c>
      <c r="D3" s="8" t="s">
        <v>39</v>
      </c>
      <c r="E3" s="12"/>
      <c r="L3" s="3"/>
    </row>
    <row r="4" spans="2:12" x14ac:dyDescent="0.15">
      <c r="B4" s="6" t="str">
        <f ca="1">Sheet1!F3</f>
        <v>元日</v>
      </c>
      <c r="C4" s="6">
        <f ca="1">IF(ISERR(D4)=TRUE,0,IF(OR(D4=1,D4=7),0,Sheet1!E3))</f>
        <v>42005</v>
      </c>
      <c r="D4" s="9">
        <f ca="1">WEEKDAY(Sheet1!E3,1)</f>
        <v>5</v>
      </c>
      <c r="E4" s="10"/>
      <c r="F4" s="2" t="s">
        <v>1</v>
      </c>
    </row>
    <row r="5" spans="2:12" x14ac:dyDescent="0.15">
      <c r="B5" s="6" t="str">
        <f ca="1">Sheet1!F4</f>
        <v>年始休み</v>
      </c>
      <c r="C5" s="6">
        <f ca="1">IF(ISERR(D5)=TRUE,0,IF(OR(D5=1,D5=7),0,Sheet1!E4))</f>
        <v>42006</v>
      </c>
      <c r="D5" s="9">
        <f ca="1">WEEKDAY(Sheet1!E4,1)</f>
        <v>6</v>
      </c>
      <c r="E5" s="10"/>
      <c r="F5" s="13" t="s">
        <v>40</v>
      </c>
    </row>
    <row r="6" spans="2:12" x14ac:dyDescent="0.15">
      <c r="B6" s="6" t="str">
        <f ca="1">Sheet1!F5</f>
        <v>年始休み</v>
      </c>
      <c r="C6" s="6">
        <f ca="1">IF(ISERR(D6)=TRUE,0,IF(OR(D6=1,D6=7),0,Sheet1!E5))</f>
        <v>0</v>
      </c>
      <c r="D6" s="9">
        <f ca="1">WEEKDAY(Sheet1!E5,1)</f>
        <v>7</v>
      </c>
      <c r="E6" s="10"/>
      <c r="F6" s="13"/>
    </row>
    <row r="7" spans="2:12" x14ac:dyDescent="0.15">
      <c r="B7" s="6" t="str">
        <f ca="1">Sheet1!F6</f>
        <v>成人の日</v>
      </c>
      <c r="C7" s="6">
        <f ca="1">IF(ISERR(D7)=TRUE,0,IF(OR(D7=1,D7=7),0,Sheet1!E6))</f>
        <v>42016</v>
      </c>
      <c r="D7" s="9">
        <f ca="1">WEEKDAY(Sheet1!E6,1)</f>
        <v>2</v>
      </c>
      <c r="E7" s="10"/>
      <c r="F7" s="2" t="s">
        <v>2</v>
      </c>
    </row>
    <row r="8" spans="2:12" x14ac:dyDescent="0.15">
      <c r="B8" s="6" t="str">
        <f ca="1">Sheet1!F7</f>
        <v>建国記念の日</v>
      </c>
      <c r="C8" s="6">
        <f ca="1">IF(ISERR(D8)=TRUE,0,IF(OR(D8=1,D8=7),0,Sheet1!E7))</f>
        <v>42046</v>
      </c>
      <c r="D8" s="9">
        <f ca="1">WEEKDAY(Sheet1!E7,1)</f>
        <v>4</v>
      </c>
      <c r="E8" s="10"/>
      <c r="G8" s="4" t="s">
        <v>3</v>
      </c>
      <c r="H8" s="421" t="s">
        <v>4</v>
      </c>
      <c r="I8" s="421"/>
      <c r="J8" s="421"/>
      <c r="K8" s="421"/>
      <c r="L8" s="421"/>
    </row>
    <row r="9" spans="2:12" x14ac:dyDescent="0.15">
      <c r="B9" s="6" t="str">
        <f ca="1">Sheet1!F8</f>
        <v>春分の日</v>
      </c>
      <c r="C9" s="6">
        <f ca="1">IF(ISERR(D9)=TRUE,0,IF(OR(D9=1,D9=7),0,Sheet1!E8))</f>
        <v>0</v>
      </c>
      <c r="D9" s="9">
        <f ca="1">WEEKDAY(Sheet1!E8,1)</f>
        <v>7</v>
      </c>
      <c r="E9" s="10"/>
    </row>
    <row r="10" spans="2:12" x14ac:dyDescent="0.15">
      <c r="B10" s="6" t="str">
        <f ca="1">Sheet1!F9</f>
        <v>昭和の日</v>
      </c>
      <c r="C10" s="6">
        <f ca="1">IF(ISERR(D10)=TRUE,0,IF(OR(D10=1,D10=7),0,Sheet1!E9))</f>
        <v>42123</v>
      </c>
      <c r="D10" s="9">
        <f ca="1">WEEKDAY(Sheet1!E9,1)</f>
        <v>4</v>
      </c>
      <c r="E10" s="10"/>
    </row>
    <row r="11" spans="2:12" x14ac:dyDescent="0.15">
      <c r="B11" s="6" t="str">
        <f ca="1">Sheet1!F10</f>
        <v>憲法記念日</v>
      </c>
      <c r="C11" s="6">
        <f ca="1">IF(ISERR(D11)=TRUE,0,IF(OR(D11=1,D11=7),0,Sheet1!E10))</f>
        <v>0</v>
      </c>
      <c r="D11" s="9">
        <f ca="1">WEEKDAY(Sheet1!E10,1)</f>
        <v>1</v>
      </c>
      <c r="E11" s="10"/>
    </row>
    <row r="12" spans="2:12" x14ac:dyDescent="0.15">
      <c r="B12" s="6" t="str">
        <f ca="1">Sheet1!F11</f>
        <v>みどりの日</v>
      </c>
      <c r="C12" s="6">
        <f ca="1">IF(ISERR(D12)=TRUE,0,IF(OR(D12=1,D12=7),0,Sheet1!E11))</f>
        <v>42128</v>
      </c>
      <c r="D12" s="9">
        <f ca="1">WEEKDAY(Sheet1!E11,1)</f>
        <v>2</v>
      </c>
      <c r="E12" s="10"/>
    </row>
    <row r="13" spans="2:12" x14ac:dyDescent="0.15">
      <c r="B13" s="6" t="str">
        <f ca="1">Sheet1!F12</f>
        <v>こどもの日</v>
      </c>
      <c r="C13" s="6">
        <f ca="1">IF(ISERR(D13)=TRUE,0,IF(OR(D13=1,D13=7),0,Sheet1!E12))</f>
        <v>42129</v>
      </c>
      <c r="D13" s="9">
        <f ca="1">WEEKDAY(Sheet1!E12,1)</f>
        <v>3</v>
      </c>
      <c r="E13" s="10"/>
    </row>
    <row r="14" spans="2:12" x14ac:dyDescent="0.15">
      <c r="B14" s="6" t="str">
        <f ca="1">Sheet1!F13</f>
        <v>振替休日</v>
      </c>
      <c r="C14" s="6">
        <f ca="1">IF(ISERR(D14)=TRUE,0,IF(OR(D14=1,D14=7),0,Sheet1!E13))</f>
        <v>42130</v>
      </c>
      <c r="D14" s="9">
        <f ca="1">WEEKDAY(Sheet1!E13,1)</f>
        <v>4</v>
      </c>
      <c r="E14" s="10"/>
    </row>
    <row r="15" spans="2:12" x14ac:dyDescent="0.15">
      <c r="B15" s="6" t="str">
        <f ca="1">Sheet1!F14</f>
        <v>海の日</v>
      </c>
      <c r="C15" s="6">
        <f ca="1">IF(ISERR(D15)=TRUE,0,IF(OR(D15=1,D15=7),0,Sheet1!E14))</f>
        <v>42205</v>
      </c>
      <c r="D15" s="9">
        <f ca="1">WEEKDAY(Sheet1!E14,1)</f>
        <v>2</v>
      </c>
      <c r="E15" s="10"/>
    </row>
    <row r="16" spans="2:12" x14ac:dyDescent="0.15">
      <c r="B16" s="6" t="str">
        <f ca="1">Sheet1!F15</f>
        <v>敬老の日</v>
      </c>
      <c r="C16" s="6">
        <f ca="1">IF(ISERR(D16)=TRUE,0,IF(OR(D16=1,D16=7),0,Sheet1!E15))</f>
        <v>42268</v>
      </c>
      <c r="D16" s="9">
        <f ca="1">WEEKDAY(Sheet1!E15,1)</f>
        <v>2</v>
      </c>
      <c r="E16" s="10"/>
    </row>
    <row r="17" spans="2:5" x14ac:dyDescent="0.15">
      <c r="B17" s="6" t="str">
        <f ca="1">Sheet1!F16</f>
        <v>国民の休日</v>
      </c>
      <c r="C17" s="6">
        <f ca="1">IF(ISERR(D17)=TRUE,0,IF(OR(D17=1,D17=7),0,Sheet1!E16))</f>
        <v>42269</v>
      </c>
      <c r="D17" s="9">
        <f ca="1">WEEKDAY(Sheet1!E16,1)</f>
        <v>3</v>
      </c>
      <c r="E17" s="10"/>
    </row>
    <row r="18" spans="2:5" x14ac:dyDescent="0.15">
      <c r="B18" s="6" t="str">
        <f ca="1">Sheet1!F17</f>
        <v>秋分の日</v>
      </c>
      <c r="C18" s="6">
        <f ca="1">IF(ISERR(D18)=TRUE,0,IF(OR(D18=1,D18=7),0,Sheet1!E17))</f>
        <v>42270</v>
      </c>
      <c r="D18" s="9">
        <f ca="1">WEEKDAY(Sheet1!E17,1)</f>
        <v>4</v>
      </c>
      <c r="E18" s="10"/>
    </row>
    <row r="19" spans="2:5" x14ac:dyDescent="0.15">
      <c r="B19" s="6" t="str">
        <f ca="1">Sheet1!F18</f>
        <v>体育の日</v>
      </c>
      <c r="C19" s="6">
        <f ca="1">IF(ISERR(D19)=TRUE,0,IF(OR(D19=1,D19=7),0,Sheet1!E18))</f>
        <v>42289</v>
      </c>
      <c r="D19" s="9">
        <f ca="1">WEEKDAY(Sheet1!E18,1)</f>
        <v>2</v>
      </c>
      <c r="E19" s="10"/>
    </row>
    <row r="20" spans="2:5" x14ac:dyDescent="0.15">
      <c r="B20" s="6" t="str">
        <f ca="1">Sheet1!F19</f>
        <v>文化の日</v>
      </c>
      <c r="C20" s="6">
        <f ca="1">IF(ISERR(D20)=TRUE,0,IF(OR(D20=1,D20=7),0,Sheet1!E19))</f>
        <v>42311</v>
      </c>
      <c r="D20" s="9">
        <f ca="1">WEEKDAY(Sheet1!E19,1)</f>
        <v>3</v>
      </c>
      <c r="E20" s="10"/>
    </row>
    <row r="21" spans="2:5" x14ac:dyDescent="0.15">
      <c r="B21" s="6" t="str">
        <f ca="1">Sheet1!F20</f>
        <v>勤労感謝の日</v>
      </c>
      <c r="C21" s="6">
        <f ca="1">IF(ISERR(D21)=TRUE,0,IF(OR(D21=1,D21=7),0,Sheet1!E20))</f>
        <v>42331</v>
      </c>
      <c r="D21" s="9">
        <f ca="1">WEEKDAY(Sheet1!E20,1)</f>
        <v>2</v>
      </c>
      <c r="E21" s="10"/>
    </row>
    <row r="22" spans="2:5" x14ac:dyDescent="0.15">
      <c r="B22" s="6" t="str">
        <f ca="1">Sheet1!F21</f>
        <v>天皇誕生日</v>
      </c>
      <c r="C22" s="6">
        <f ca="1">IF(ISERR(D22)=TRUE,0,IF(OR(D22=1,D22=7),0,Sheet1!E21))</f>
        <v>42361</v>
      </c>
      <c r="D22" s="9">
        <f ca="1">WEEKDAY(Sheet1!E21,1)</f>
        <v>4</v>
      </c>
      <c r="E22" s="10"/>
    </row>
    <row r="23" spans="2:5" x14ac:dyDescent="0.15">
      <c r="B23" s="6" t="str">
        <f ca="1">Sheet1!F22</f>
        <v>年末休み</v>
      </c>
      <c r="C23" s="6">
        <f ca="1">IF(ISERR(D23)=TRUE,0,IF(OR(D23=1,D23=7),0,Sheet1!E22))</f>
        <v>42367</v>
      </c>
      <c r="D23" s="9">
        <f ca="1">WEEKDAY(Sheet1!E22,1)</f>
        <v>3</v>
      </c>
      <c r="E23" s="10"/>
    </row>
    <row r="24" spans="2:5" x14ac:dyDescent="0.15">
      <c r="B24" s="6" t="str">
        <f ca="1">Sheet1!F23</f>
        <v>年末休み</v>
      </c>
      <c r="C24" s="6">
        <f ca="1">IF(ISERR(D24)=TRUE,0,IF(OR(D24=1,D24=7),0,Sheet1!E23))</f>
        <v>42368</v>
      </c>
      <c r="D24" s="9">
        <f ca="1">WEEKDAY(Sheet1!E23,1)</f>
        <v>4</v>
      </c>
      <c r="E24" s="10"/>
    </row>
    <row r="25" spans="2:5" x14ac:dyDescent="0.15">
      <c r="B25" s="6" t="str">
        <f ca="1">Sheet1!F24</f>
        <v>年末休み</v>
      </c>
      <c r="C25" s="6">
        <f ca="1">IF(ISERR(D25)=TRUE,0,IF(OR(D25=1,D25=7),0,Sheet1!E24))</f>
        <v>42369</v>
      </c>
      <c r="D25" s="9">
        <f ca="1">WEEKDAY(Sheet1!E24,1)</f>
        <v>5</v>
      </c>
      <c r="E25" s="10"/>
    </row>
    <row r="26" spans="2:5" x14ac:dyDescent="0.15">
      <c r="B26" s="6" t="str">
        <f ca="1">Sheet1!F25</f>
        <v>元日</v>
      </c>
      <c r="C26" s="6">
        <f ca="1">IF(ISERR(D26)=TRUE,0,IF(OR(D26=1,D26=7),0,Sheet1!E25))</f>
        <v>42370</v>
      </c>
      <c r="D26" s="9">
        <f ca="1">WEEKDAY(Sheet1!E25,1)</f>
        <v>6</v>
      </c>
      <c r="E26" s="10"/>
    </row>
    <row r="27" spans="2:5" x14ac:dyDescent="0.15">
      <c r="B27" s="6" t="str">
        <f ca="1">Sheet1!F26</f>
        <v>年始休み</v>
      </c>
      <c r="C27" s="6">
        <f ca="1">IF(ISERR(D27)=TRUE,0,IF(OR(D27=1,D27=7),0,Sheet1!E26))</f>
        <v>0</v>
      </c>
      <c r="D27" s="9">
        <f ca="1">WEEKDAY(Sheet1!E26,1)</f>
        <v>7</v>
      </c>
      <c r="E27" s="10"/>
    </row>
    <row r="28" spans="2:5" x14ac:dyDescent="0.15">
      <c r="B28" s="6" t="str">
        <f ca="1">Sheet1!F27</f>
        <v>年始休み</v>
      </c>
      <c r="C28" s="6">
        <f ca="1">IF(ISERR(D28)=TRUE,0,IF(OR(D28=1,D28=7),0,Sheet1!E27))</f>
        <v>0</v>
      </c>
      <c r="D28" s="9">
        <f ca="1">WEEKDAY(Sheet1!E27,1)</f>
        <v>1</v>
      </c>
      <c r="E28" s="10"/>
    </row>
    <row r="29" spans="2:5" x14ac:dyDescent="0.15">
      <c r="B29" s="6" t="str">
        <f ca="1">Sheet1!F28</f>
        <v>成人の日</v>
      </c>
      <c r="C29" s="6">
        <f ca="1">IF(ISERR(D29)=TRUE,0,IF(OR(D29=1,D29=7),0,Sheet1!E28))</f>
        <v>42380</v>
      </c>
      <c r="D29" s="9">
        <f ca="1">WEEKDAY(Sheet1!E28,1)</f>
        <v>2</v>
      </c>
      <c r="E29" s="10"/>
    </row>
    <row r="30" spans="2:5" x14ac:dyDescent="0.15">
      <c r="B30" s="6" t="str">
        <f ca="1">Sheet1!F29</f>
        <v>建国記念の日</v>
      </c>
      <c r="C30" s="6">
        <f ca="1">IF(ISERR(D30)=TRUE,0,IF(OR(D30=1,D30=7),0,Sheet1!E29))</f>
        <v>42411</v>
      </c>
      <c r="D30" s="9">
        <f ca="1">WEEKDAY(Sheet1!E29,1)</f>
        <v>5</v>
      </c>
      <c r="E30" s="10"/>
    </row>
    <row r="31" spans="2:5" x14ac:dyDescent="0.15">
      <c r="B31" s="6" t="str">
        <f ca="1">Sheet1!F30</f>
        <v>春分の日</v>
      </c>
      <c r="C31" s="6">
        <f ca="1">IF(ISERR(D31)=TRUE,0,IF(OR(D31=1,D31=7),0,Sheet1!E30))</f>
        <v>0</v>
      </c>
      <c r="D31" s="9">
        <f ca="1">WEEKDAY(Sheet1!E30,1)</f>
        <v>1</v>
      </c>
      <c r="E31" s="10"/>
    </row>
    <row r="32" spans="2:5" x14ac:dyDescent="0.15">
      <c r="B32" s="6" t="str">
        <f ca="1">Sheet1!F31</f>
        <v>振替休日</v>
      </c>
      <c r="C32" s="6">
        <f ca="1">IF(ISERR(D32)=TRUE,0,IF(OR(D32=1,D32=7),0,Sheet1!E31))</f>
        <v>42450</v>
      </c>
      <c r="D32" s="9">
        <f ca="1">WEEKDAY(Sheet1!E31,1)</f>
        <v>2</v>
      </c>
      <c r="E32" s="10"/>
    </row>
    <row r="33" spans="2:5" x14ac:dyDescent="0.15">
      <c r="B33" s="6" t="str">
        <f ca="1">Sheet1!F32</f>
        <v>昭和の日</v>
      </c>
      <c r="C33" s="6">
        <f ca="1">IF(ISERR(D33)=TRUE,0,IF(OR(D33=1,D33=7),0,Sheet1!E32))</f>
        <v>42489</v>
      </c>
      <c r="D33" s="9">
        <f ca="1">WEEKDAY(Sheet1!E32,1)</f>
        <v>6</v>
      </c>
      <c r="E33" s="10"/>
    </row>
    <row r="34" spans="2:5" x14ac:dyDescent="0.15">
      <c r="B34" s="6" t="str">
        <f ca="1">Sheet1!F33</f>
        <v>憲法記念日</v>
      </c>
      <c r="C34" s="6">
        <f ca="1">IF(ISERR(D34)=TRUE,0,IF(OR(D34=1,D34=7),0,Sheet1!E33))</f>
        <v>42493</v>
      </c>
      <c r="D34" s="9">
        <f ca="1">WEEKDAY(Sheet1!E33,1)</f>
        <v>3</v>
      </c>
      <c r="E34" s="10"/>
    </row>
    <row r="35" spans="2:5" x14ac:dyDescent="0.15">
      <c r="B35" s="6" t="str">
        <f ca="1">Sheet1!F34</f>
        <v>みどりの日</v>
      </c>
      <c r="C35" s="6">
        <f ca="1">IF(ISERR(D35)=TRUE,0,IF(OR(D35=1,D35=7),0,Sheet1!E34))</f>
        <v>42494</v>
      </c>
      <c r="D35" s="9">
        <f ca="1">WEEKDAY(Sheet1!E34,1)</f>
        <v>4</v>
      </c>
      <c r="E35" s="10"/>
    </row>
    <row r="36" spans="2:5" x14ac:dyDescent="0.15">
      <c r="B36" s="6" t="str">
        <f ca="1">Sheet1!F35</f>
        <v>こどもの日</v>
      </c>
      <c r="C36" s="6">
        <f ca="1">IF(ISERR(D36)=TRUE,0,IF(OR(D36=1,D36=7),0,Sheet1!E35))</f>
        <v>42495</v>
      </c>
      <c r="D36" s="9">
        <f ca="1">WEEKDAY(Sheet1!E35,1)</f>
        <v>5</v>
      </c>
      <c r="E36" s="10"/>
    </row>
    <row r="37" spans="2:5" x14ac:dyDescent="0.15">
      <c r="B37" s="6" t="str">
        <f ca="1">Sheet1!F36</f>
        <v>海の日</v>
      </c>
      <c r="C37" s="6">
        <f ca="1">IF(ISERR(D37)=TRUE,0,IF(OR(D37=1,D37=7),0,Sheet1!E36))</f>
        <v>42569</v>
      </c>
      <c r="D37" s="9">
        <f ca="1">WEEKDAY(Sheet1!E36,1)</f>
        <v>2</v>
      </c>
      <c r="E37" s="10"/>
    </row>
    <row r="38" spans="2:5" x14ac:dyDescent="0.15">
      <c r="B38" s="6" t="str">
        <f ca="1">Sheet1!F37</f>
        <v>山の日</v>
      </c>
      <c r="C38" s="6">
        <f ca="1">IF(ISERR(D38)=TRUE,0,IF(OR(D38=1,D38=7),0,Sheet1!E37))</f>
        <v>42593</v>
      </c>
      <c r="D38" s="9">
        <f ca="1">WEEKDAY(Sheet1!E37,1)</f>
        <v>5</v>
      </c>
      <c r="E38" s="10"/>
    </row>
    <row r="39" spans="2:5" x14ac:dyDescent="0.15">
      <c r="B39" s="6" t="str">
        <f ca="1">Sheet1!F38</f>
        <v>敬老の日</v>
      </c>
      <c r="C39" s="6">
        <f ca="1">IF(ISERR(D39)=TRUE,0,IF(OR(D39=1,D39=7),0,Sheet1!E38))</f>
        <v>42632</v>
      </c>
      <c r="D39" s="9">
        <f ca="1">WEEKDAY(Sheet1!E38,1)</f>
        <v>2</v>
      </c>
      <c r="E39" s="10"/>
    </row>
    <row r="40" spans="2:5" x14ac:dyDescent="0.15">
      <c r="B40" s="6" t="str">
        <f ca="1">Sheet1!F39</f>
        <v>秋分の日</v>
      </c>
      <c r="C40" s="6">
        <f ca="1">IF(ISERR(D40)=TRUE,0,IF(OR(D40=1,D40=7),0,Sheet1!E39))</f>
        <v>42635</v>
      </c>
      <c r="D40" s="9">
        <f ca="1">WEEKDAY(Sheet1!E39,1)</f>
        <v>5</v>
      </c>
      <c r="E40" s="10"/>
    </row>
    <row r="41" spans="2:5" x14ac:dyDescent="0.15">
      <c r="B41" s="6" t="str">
        <f ca="1">Sheet1!F40</f>
        <v>体育の日</v>
      </c>
      <c r="C41" s="6">
        <f ca="1">IF(ISERR(D41)=TRUE,0,IF(OR(D41=1,D41=7),0,Sheet1!E40))</f>
        <v>42653</v>
      </c>
      <c r="D41" s="9">
        <f ca="1">WEEKDAY(Sheet1!E40,1)</f>
        <v>2</v>
      </c>
      <c r="E41" s="10"/>
    </row>
    <row r="42" spans="2:5" x14ac:dyDescent="0.15">
      <c r="B42" s="6" t="str">
        <f ca="1">Sheet1!F41</f>
        <v>文化の日</v>
      </c>
      <c r="C42" s="6">
        <f ca="1">IF(ISERR(D42)=TRUE,0,IF(OR(D42=1,D42=7),0,Sheet1!E41))</f>
        <v>42677</v>
      </c>
      <c r="D42" s="9">
        <f ca="1">WEEKDAY(Sheet1!E41,1)</f>
        <v>5</v>
      </c>
      <c r="E42" s="10"/>
    </row>
    <row r="43" spans="2:5" x14ac:dyDescent="0.15">
      <c r="B43" s="6" t="str">
        <f ca="1">Sheet1!F42</f>
        <v>勤労感謝の日</v>
      </c>
      <c r="C43" s="6">
        <f ca="1">IF(ISERR(D43)=TRUE,0,IF(OR(D43=1,D43=7),0,Sheet1!E42))</f>
        <v>42697</v>
      </c>
      <c r="D43" s="9">
        <f ca="1">WEEKDAY(Sheet1!E42,1)</f>
        <v>4</v>
      </c>
      <c r="E43" s="10"/>
    </row>
    <row r="44" spans="2:5" x14ac:dyDescent="0.15">
      <c r="B44" s="6" t="str">
        <f ca="1">Sheet1!F43</f>
        <v>天皇誕生日</v>
      </c>
      <c r="C44" s="6">
        <f ca="1">IF(ISERR(D44)=TRUE,0,IF(OR(D44=1,D44=7),0,Sheet1!E43))</f>
        <v>42727</v>
      </c>
      <c r="D44" s="9">
        <f ca="1">WEEKDAY(Sheet1!E43,1)</f>
        <v>6</v>
      </c>
      <c r="E44" s="10"/>
    </row>
    <row r="45" spans="2:5" x14ac:dyDescent="0.15">
      <c r="B45" s="6" t="str">
        <f ca="1">Sheet1!F44</f>
        <v>年末休み</v>
      </c>
      <c r="C45" s="6">
        <f ca="1">IF(ISERR(D45)=TRUE,0,IF(OR(D45=1,D45=7),0,Sheet1!E44))</f>
        <v>42733</v>
      </c>
      <c r="D45" s="9">
        <f ca="1">WEEKDAY(Sheet1!E44,1)</f>
        <v>5</v>
      </c>
      <c r="E45" s="10"/>
    </row>
    <row r="46" spans="2:5" x14ac:dyDescent="0.15">
      <c r="B46" s="6" t="str">
        <f ca="1">Sheet1!F45</f>
        <v>年末休み</v>
      </c>
      <c r="C46" s="6">
        <f ca="1">IF(ISERR(D46)=TRUE,0,IF(OR(D46=1,D46=7),0,Sheet1!E45))</f>
        <v>42734</v>
      </c>
      <c r="D46" s="9">
        <f ca="1">WEEKDAY(Sheet1!E45,1)</f>
        <v>6</v>
      </c>
      <c r="E46" s="10"/>
    </row>
    <row r="47" spans="2:5" x14ac:dyDescent="0.15">
      <c r="B47" s="6" t="str">
        <f ca="1">Sheet1!F46</f>
        <v>年末休み</v>
      </c>
      <c r="C47" s="6">
        <f ca="1">IF(ISERR(D47)=TRUE,0,IF(OR(D47=1,D47=7),0,Sheet1!E46))</f>
        <v>0</v>
      </c>
      <c r="D47" s="9">
        <f ca="1">WEEKDAY(Sheet1!E46,1)</f>
        <v>7</v>
      </c>
      <c r="E47" s="10"/>
    </row>
    <row r="48" spans="2:5" x14ac:dyDescent="0.15">
      <c r="B48" s="6" t="str">
        <f ca="1">Sheet1!F47</f>
        <v/>
      </c>
      <c r="C48" s="6">
        <f ca="1">IF(ISERR(D48)=TRUE,0,IF(OR(D48=1,D48=7),0,Sheet1!E47))</f>
        <v>0</v>
      </c>
      <c r="D48" s="9" t="e">
        <f ca="1">WEEKDAY(Sheet1!E47,1)</f>
        <v>#VALUE!</v>
      </c>
      <c r="E48" s="10"/>
    </row>
    <row r="49" spans="2:5" x14ac:dyDescent="0.15">
      <c r="B49" s="6" t="str">
        <f ca="1">Sheet1!F48</f>
        <v/>
      </c>
      <c r="C49" s="6">
        <f ca="1">IF(ISERR(D49)=TRUE,0,IF(OR(D49=1,D49=7),0,Sheet1!E48))</f>
        <v>0</v>
      </c>
      <c r="D49" s="9" t="e">
        <f ca="1">WEEKDAY(Sheet1!E48,1)</f>
        <v>#VALUE!</v>
      </c>
      <c r="E49" s="10"/>
    </row>
    <row r="50" spans="2:5" x14ac:dyDescent="0.15">
      <c r="B50" s="6" t="str">
        <f ca="1">Sheet1!F49</f>
        <v/>
      </c>
      <c r="C50" s="6">
        <f ca="1">IF(ISERR(D50)=TRUE,0,IF(OR(D50=1,D50=7),0,Sheet1!E49))</f>
        <v>0</v>
      </c>
      <c r="D50" s="9" t="e">
        <f ca="1">WEEKDAY(Sheet1!E49,1)</f>
        <v>#VALUE!</v>
      </c>
      <c r="E50" s="10"/>
    </row>
    <row r="51" spans="2:5" x14ac:dyDescent="0.15">
      <c r="B51" s="6" t="str">
        <f ca="1">Sheet1!F50</f>
        <v/>
      </c>
      <c r="C51" s="6">
        <f ca="1">IF(ISERR(D51)=TRUE,0,IF(OR(D51=1,D51=7),0,Sheet1!E50))</f>
        <v>0</v>
      </c>
      <c r="D51" s="9" t="e">
        <f ca="1">WEEKDAY(Sheet1!E50,1)</f>
        <v>#VALUE!</v>
      </c>
      <c r="E51" s="10"/>
    </row>
    <row r="52" spans="2:5" x14ac:dyDescent="0.15">
      <c r="B52" s="6" t="str">
        <f ca="1">Sheet1!F51</f>
        <v/>
      </c>
      <c r="C52" s="6">
        <f ca="1">IF(ISERR(D52)=TRUE,0,IF(OR(D52=1,D52=7),0,Sheet1!E51))</f>
        <v>0</v>
      </c>
      <c r="D52" s="9" t="e">
        <f ca="1">WEEKDAY(Sheet1!E51,1)</f>
        <v>#VALUE!</v>
      </c>
      <c r="E52" s="10"/>
    </row>
    <row r="53" spans="2:5" x14ac:dyDescent="0.15">
      <c r="B53" s="6" t="str">
        <f ca="1">Sheet1!F52</f>
        <v/>
      </c>
      <c r="C53" s="6">
        <f ca="1">IF(ISERR(D53)=TRUE,0,IF(OR(D53=1,D53=7),0,Sheet1!E52))</f>
        <v>0</v>
      </c>
      <c r="D53" s="9" t="e">
        <f ca="1">WEEKDAY(Sheet1!E52,1)</f>
        <v>#VALUE!</v>
      </c>
      <c r="E53" s="10"/>
    </row>
  </sheetData>
  <mergeCells count="2">
    <mergeCell ref="F2:G2"/>
    <mergeCell ref="H8:L8"/>
  </mergeCells>
  <phoneticPr fontId="2"/>
  <conditionalFormatting sqref="D4:D53">
    <cfRule type="cellIs" dxfId="1" priority="3" operator="equal">
      <formula>7</formula>
    </cfRule>
    <cfRule type="cellIs" dxfId="0" priority="4" operator="equal">
      <formula>1</formula>
    </cfRule>
  </conditionalFormatting>
  <hyperlinks>
    <hyperlink ref="H8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5</vt:i4>
      </vt:variant>
    </vt:vector>
  </HeadingPairs>
  <TitlesOfParts>
    <vt:vector size="16" baseType="lpstr">
      <vt:lpstr>病休・介休 入力</vt:lpstr>
      <vt:lpstr>除算期間内訳書（病休・介休）</vt:lpstr>
      <vt:lpstr>病休・介休 印刷</vt:lpstr>
      <vt:lpstr>病休等 TEMP</vt:lpstr>
      <vt:lpstr>産休・育休 入力</vt:lpstr>
      <vt:lpstr>産休・育休 TEMP</vt:lpstr>
      <vt:lpstr>産休・育休 印刷</vt:lpstr>
      <vt:lpstr>除算期間内訳書（産休・育休）</vt:lpstr>
      <vt:lpstr>祝日データ</vt:lpstr>
      <vt:lpstr>Sheet1</vt:lpstr>
      <vt:lpstr>期間率</vt:lpstr>
      <vt:lpstr>'産休・育休 印刷'!Print_Area</vt:lpstr>
      <vt:lpstr>'除算期間内訳書（産休・育休）'!Print_Area</vt:lpstr>
      <vt:lpstr>'除算期間内訳書（病休・介休）'!Print_Area</vt:lpstr>
      <vt:lpstr>'病休・介休 印刷'!Print_Area</vt:lpstr>
      <vt:lpstr>祝日表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新妻　和哉　事務長</dc:creator>
  <cp:lastModifiedBy>新妻</cp:lastModifiedBy>
  <cp:lastPrinted>2016-05-09T06:26:59Z</cp:lastPrinted>
  <dcterms:created xsi:type="dcterms:W3CDTF">2014-10-06T02:39:10Z</dcterms:created>
  <dcterms:modified xsi:type="dcterms:W3CDTF">2016-08-30T11:14:01Z</dcterms:modified>
</cp:coreProperties>
</file>